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5135" windowHeight="8535" activeTab="0"/>
  </bookViews>
  <sheets>
    <sheet name="Information" sheetId="1" r:id="rId1"/>
    <sheet name="Eingabe" sheetId="2" r:id="rId2"/>
    <sheet name="Charakterbogen" sheetId="3" r:id="rId3"/>
    <sheet name="Daten" sheetId="4" r:id="rId4"/>
  </sheets>
  <definedNames/>
  <calcPr fullCalcOnLoad="1"/>
</workbook>
</file>

<file path=xl/comments2.xml><?xml version="1.0" encoding="utf-8"?>
<comments xmlns="http://schemas.openxmlformats.org/spreadsheetml/2006/main">
  <authors>
    <author>AM-Informatik</author>
  </authors>
  <commentList>
    <comment ref="D121" authorId="0">
      <text>
        <r>
          <rPr>
            <b/>
            <sz val="8"/>
            <rFont val="Tahoma"/>
            <family val="0"/>
          </rPr>
          <t xml:space="preserve">Prüfung auf Anzahl Angriffe Nr. 2
</t>
        </r>
      </text>
    </comment>
    <comment ref="D119" authorId="0">
      <text>
        <r>
          <rPr>
            <b/>
            <sz val="8"/>
            <rFont val="Tahoma"/>
            <family val="0"/>
          </rPr>
          <t>Prüfung ob Kämpfer oder nicht.</t>
        </r>
      </text>
    </comment>
    <comment ref="D122" authorId="0">
      <text>
        <r>
          <rPr>
            <b/>
            <sz val="8"/>
            <rFont val="Tahoma"/>
            <family val="2"/>
          </rPr>
          <t xml:space="preserve">Prüfung auf Priester,Psioniker
</t>
        </r>
        <r>
          <rPr>
            <sz val="8"/>
            <rFont val="Tahoma"/>
            <family val="0"/>
          </rPr>
          <t xml:space="preserve">
</t>
        </r>
      </text>
    </comment>
    <comment ref="D123" authorId="0">
      <text>
        <r>
          <rPr>
            <b/>
            <sz val="8"/>
            <rFont val="Tahoma"/>
            <family val="0"/>
          </rPr>
          <t xml:space="preserve">Prüfung auf Magier
</t>
        </r>
      </text>
    </comment>
    <comment ref="D124" authorId="0">
      <text>
        <r>
          <rPr>
            <b/>
            <sz val="8"/>
            <rFont val="Tahoma"/>
            <family val="0"/>
          </rPr>
          <t>Prüfung auf Dieb</t>
        </r>
      </text>
    </comment>
    <comment ref="D125" authorId="0">
      <text>
        <r>
          <rPr>
            <b/>
            <sz val="8"/>
            <rFont val="Tahoma"/>
            <family val="0"/>
          </rPr>
          <t>Ein Char darf nicht Rüstung + Spezial anziehen. Falls doch dann wirkt nur das Bessere.</t>
        </r>
      </text>
    </comment>
    <comment ref="D118" authorId="0">
      <text>
        <r>
          <rPr>
            <b/>
            <sz val="8"/>
            <rFont val="Tahoma"/>
            <family val="0"/>
          </rPr>
          <t>Prüfung ob Schild NICHT ausgewählt und Mag. Boni.</t>
        </r>
      </text>
    </comment>
    <comment ref="D120" authorId="0">
      <text>
        <r>
          <rPr>
            <b/>
            <sz val="8"/>
            <rFont val="Tahoma"/>
            <family val="0"/>
          </rPr>
          <t>Prüfung auf erhöhte Angriffsanzahl für Kämpfer</t>
        </r>
      </text>
    </comment>
    <comment ref="C123" authorId="0">
      <text>
        <r>
          <rPr>
            <b/>
            <sz val="8"/>
            <rFont val="Tahoma"/>
            <family val="0"/>
          </rPr>
          <t>Prüfung ob manuelle Eingabe von aussergewöhnlicher Stärke nicht 100 übersteigt.</t>
        </r>
      </text>
    </comment>
    <comment ref="C124" authorId="0">
      <text>
        <r>
          <rPr>
            <b/>
            <sz val="8"/>
            <rFont val="Tahoma"/>
            <family val="0"/>
          </rPr>
          <t>Prüfung auf berechnete Lebenspunkte. Bei gewissen Charakteren ist das Spielen fraglich. Z.B. LVL 15 Kämpfer mit 15 Lebenspunkten.</t>
        </r>
      </text>
    </comment>
    <comment ref="B113" authorId="0">
      <text>
        <r>
          <rPr>
            <b/>
            <sz val="8"/>
            <rFont val="Tahoma"/>
            <family val="0"/>
          </rPr>
          <t>Grosser Wertebereich wegen z.b. Boots of Speed</t>
        </r>
      </text>
    </comment>
    <comment ref="B109" authorId="0">
      <text>
        <r>
          <rPr>
            <b/>
            <sz val="8"/>
            <rFont val="Tahoma"/>
            <family val="0"/>
          </rPr>
          <t>Zur Berücksichtigung vieler mag. Items kann man hier zusätzliche Bonis/Malis
eingeben.</t>
        </r>
      </text>
    </comment>
    <comment ref="B110" authorId="0">
      <text>
        <r>
          <rPr>
            <b/>
            <sz val="8"/>
            <rFont val="Tahoma"/>
            <family val="0"/>
          </rPr>
          <t>AC -2 --&gt; AC wird um 2 Verbessert.
Der Natürl. AC bei Barbaren wird berechnet und muss hier nicht eingegeben werden.</t>
        </r>
      </text>
    </comment>
    <comment ref="B111" authorId="0">
      <text>
        <r>
          <rPr>
            <b/>
            <sz val="8"/>
            <rFont val="Tahoma"/>
            <family val="0"/>
          </rPr>
          <t>THAC0 - 2 = THACO wird um 2 verbessert.</t>
        </r>
      </text>
    </comment>
    <comment ref="B112" authorId="0">
      <text>
        <r>
          <rPr>
            <b/>
            <sz val="8"/>
            <rFont val="Tahoma"/>
            <family val="0"/>
          </rPr>
          <t>Schaden -2 bedeutet der Schaden wird schlechter.</t>
        </r>
      </text>
    </comment>
  </commentList>
</comments>
</file>

<file path=xl/comments3.xml><?xml version="1.0" encoding="utf-8"?>
<comments xmlns="http://schemas.openxmlformats.org/spreadsheetml/2006/main">
  <authors>
    <author>AM-Informatik</author>
  </authors>
  <commentList>
    <comment ref="B27" authorId="0">
      <text>
        <r>
          <rPr>
            <b/>
            <sz val="8"/>
            <rFont val="Tahoma"/>
            <family val="0"/>
          </rPr>
          <t>Durch gleichzeitigen Einsatz einer 2.Waffe erhält die Sekundärwaffe -2 auf THACO</t>
        </r>
      </text>
    </comment>
    <comment ref="P26" authorId="0">
      <text>
        <r>
          <rPr>
            <b/>
            <sz val="8"/>
            <rFont val="Tahoma"/>
            <family val="0"/>
          </rPr>
          <t>Erweiterter Schaden durch bes. Items.</t>
        </r>
      </text>
    </comment>
    <comment ref="R26" authorId="0">
      <text>
        <r>
          <rPr>
            <b/>
            <sz val="8"/>
            <rFont val="Tahoma"/>
            <family val="0"/>
          </rPr>
          <t>Erweiterter THAC0 durch bes. Items</t>
        </r>
      </text>
    </comment>
  </commentList>
</comments>
</file>

<file path=xl/sharedStrings.xml><?xml version="1.0" encoding="utf-8"?>
<sst xmlns="http://schemas.openxmlformats.org/spreadsheetml/2006/main" count="926" uniqueCount="548">
  <si>
    <t>Stärke</t>
  </si>
  <si>
    <t>GES</t>
  </si>
  <si>
    <t>KON</t>
  </si>
  <si>
    <t>INT</t>
  </si>
  <si>
    <t>WEI</t>
  </si>
  <si>
    <t>CHA</t>
  </si>
  <si>
    <t>HP/Stufe</t>
  </si>
  <si>
    <t>Bonus ü 9</t>
  </si>
  <si>
    <t>Magier</t>
  </si>
  <si>
    <t>Priester</t>
  </si>
  <si>
    <t>Psioniker</t>
  </si>
  <si>
    <t>Dieb</t>
  </si>
  <si>
    <t>Kämpfer</t>
  </si>
  <si>
    <t>Paladin</t>
  </si>
  <si>
    <t>Waldläufer</t>
  </si>
  <si>
    <t>Magier/Priester</t>
  </si>
  <si>
    <t>Magier/Kämper</t>
  </si>
  <si>
    <t>Magier/Psioniker</t>
  </si>
  <si>
    <t>Magier/Dieb</t>
  </si>
  <si>
    <t>Kämpfer/Priester</t>
  </si>
  <si>
    <t>Kämpfer/Psioniker</t>
  </si>
  <si>
    <t>Priester/Psioniker</t>
  </si>
  <si>
    <t>Psioniker/Dieb</t>
  </si>
  <si>
    <t>Barbar</t>
  </si>
  <si>
    <t>Ermittlung Weisheitsbonus</t>
  </si>
  <si>
    <t>THAC0</t>
  </si>
  <si>
    <t>Männlich</t>
  </si>
  <si>
    <t>Weiblich</t>
  </si>
  <si>
    <t>Nächster LVL</t>
  </si>
  <si>
    <t>Nächster LVL2</t>
  </si>
  <si>
    <t>Rassenbonis</t>
  </si>
  <si>
    <t>St</t>
  </si>
  <si>
    <t>WIE</t>
  </si>
  <si>
    <t>cha</t>
  </si>
  <si>
    <t>Höchstalter</t>
  </si>
  <si>
    <t>BF</t>
  </si>
  <si>
    <t>Mensch</t>
  </si>
  <si>
    <t>Zwerg</t>
  </si>
  <si>
    <t>Elf</t>
  </si>
  <si>
    <t>Halbing</t>
  </si>
  <si>
    <t>Halb-Elf</t>
  </si>
  <si>
    <t>Gnom</t>
  </si>
  <si>
    <t>Rettunswurf Magier und</t>
  </si>
  <si>
    <t>Lähmung/Gift</t>
  </si>
  <si>
    <t>Zauberstäbe</t>
  </si>
  <si>
    <t>Versteinerung</t>
  </si>
  <si>
    <t>Odemwaffen</t>
  </si>
  <si>
    <t>Zauber</t>
  </si>
  <si>
    <t>Aufstieg</t>
  </si>
  <si>
    <t>Aufstiegstabelle</t>
  </si>
  <si>
    <t>RW + AufstiegTabelle</t>
  </si>
  <si>
    <t>RW + Aufstiegstabelle</t>
  </si>
  <si>
    <t>RW + AufstiegstABelle</t>
  </si>
  <si>
    <t>Pa/Wa</t>
  </si>
  <si>
    <t>Höhe</t>
  </si>
  <si>
    <t>TP/Kämpfer</t>
  </si>
  <si>
    <t>TP/Rest</t>
  </si>
  <si>
    <t>Schock</t>
  </si>
  <si>
    <t>wiedererw.</t>
  </si>
  <si>
    <t>rw gegen G.</t>
  </si>
  <si>
    <t>Regeneration</t>
  </si>
  <si>
    <t>psi</t>
  </si>
  <si>
    <t>Grundtabelle</t>
  </si>
  <si>
    <t>Konstitution</t>
  </si>
  <si>
    <t>-</t>
  </si>
  <si>
    <t>1/6</t>
  </si>
  <si>
    <t>1/5</t>
  </si>
  <si>
    <t>1/4</t>
  </si>
  <si>
    <t>1/3</t>
  </si>
  <si>
    <t>1/2</t>
  </si>
  <si>
    <t>Potions</t>
  </si>
  <si>
    <t>Full Healing</t>
  </si>
  <si>
    <t>Ts</t>
  </si>
  <si>
    <t>Schaden</t>
  </si>
  <si>
    <t>Zul.Traglast</t>
  </si>
  <si>
    <t>Stemmverm.</t>
  </si>
  <si>
    <t>Tür.öffn</t>
  </si>
  <si>
    <t>St/Gatternv</t>
  </si>
  <si>
    <t>Aussergewöhnliche Stärke</t>
  </si>
  <si>
    <t>18 XX</t>
  </si>
  <si>
    <t>TS</t>
  </si>
  <si>
    <t>SM</t>
  </si>
  <si>
    <t>Zul Traglast</t>
  </si>
  <si>
    <t>Berechnungen Stärke</t>
  </si>
  <si>
    <t>Geschicklichkeit</t>
  </si>
  <si>
    <t>reaktionsmod.</t>
  </si>
  <si>
    <t>fernwaffenmod.</t>
  </si>
  <si>
    <t>AC-Bonus</t>
  </si>
  <si>
    <t>Intelligen</t>
  </si>
  <si>
    <t>Sprachen</t>
  </si>
  <si>
    <t>Höchst.Zauber.</t>
  </si>
  <si>
    <t>Zauber verst.</t>
  </si>
  <si>
    <t>Max. Zauber</t>
  </si>
  <si>
    <t>Illusion</t>
  </si>
  <si>
    <t>Vier</t>
  </si>
  <si>
    <t>Fünf</t>
  </si>
  <si>
    <t>Sechs</t>
  </si>
  <si>
    <t>Sieben</t>
  </si>
  <si>
    <t>Acht</t>
  </si>
  <si>
    <t>Neun</t>
  </si>
  <si>
    <t>All</t>
  </si>
  <si>
    <t>Weisheit</t>
  </si>
  <si>
    <t>Mod mag.Ang</t>
  </si>
  <si>
    <t>Zusätzl.Zauber</t>
  </si>
  <si>
    <t>versagt.</t>
  </si>
  <si>
    <t>Immunität</t>
  </si>
  <si>
    <t xml:space="preserve"> </t>
  </si>
  <si>
    <t>Charisma</t>
  </si>
  <si>
    <t>Gefolgsleute</t>
  </si>
  <si>
    <t>Loyalität</t>
  </si>
  <si>
    <t>Reaktionsmod</t>
  </si>
  <si>
    <t>Psionische Punkte</t>
  </si>
  <si>
    <t>AC-Barbar</t>
  </si>
  <si>
    <t>Bonus</t>
  </si>
  <si>
    <t>Rüstungen</t>
  </si>
  <si>
    <t>Lederrüstung</t>
  </si>
  <si>
    <t>Berechnung</t>
  </si>
  <si>
    <t>Mindestattribute</t>
  </si>
  <si>
    <t xml:space="preserve">   Grunddaten</t>
  </si>
  <si>
    <t>Treasure</t>
  </si>
  <si>
    <t>NAME</t>
  </si>
  <si>
    <t>Platin</t>
  </si>
  <si>
    <t>Gold</t>
  </si>
  <si>
    <t>GOTTHEIT</t>
  </si>
  <si>
    <t>Silber</t>
  </si>
  <si>
    <t>ALTER</t>
  </si>
  <si>
    <t>Edelstein(e)</t>
  </si>
  <si>
    <t>AKT. XP</t>
  </si>
  <si>
    <t>RASSE</t>
  </si>
  <si>
    <t>1.Berufswahl</t>
  </si>
  <si>
    <t>2.Berufswahl</t>
  </si>
  <si>
    <t>BERUF</t>
  </si>
  <si>
    <t>STUFE</t>
  </si>
  <si>
    <t>GESCHLECHT</t>
  </si>
  <si>
    <t>Mindestwerte:</t>
  </si>
  <si>
    <t>Aktuelle Werte</t>
  </si>
  <si>
    <t>Rassenwerte</t>
  </si>
  <si>
    <t>STÄRKE</t>
  </si>
  <si>
    <t>GESCHICKLICHKEIT</t>
  </si>
  <si>
    <t>KONSTITUTION</t>
  </si>
  <si>
    <t>INTELLIGENZ</t>
  </si>
  <si>
    <t>WEISHEIT</t>
  </si>
  <si>
    <t>CHARISMA</t>
  </si>
  <si>
    <t>Automatisch</t>
  </si>
  <si>
    <t>Kämpferbonus bei Konstitution &gt;= 18 + TP-Berechnung</t>
  </si>
  <si>
    <t>Manuelle TP</t>
  </si>
  <si>
    <t>1wX</t>
  </si>
  <si>
    <t>KON-Bonus</t>
  </si>
  <si>
    <t>Gesamt Kumuliert</t>
  </si>
  <si>
    <t>Potion</t>
  </si>
  <si>
    <t>Anzahl</t>
  </si>
  <si>
    <t>Name</t>
  </si>
  <si>
    <t>Stufe</t>
  </si>
  <si>
    <t>Platinmünzen</t>
  </si>
  <si>
    <t>Rasse/Klasse</t>
  </si>
  <si>
    <t>XP</t>
  </si>
  <si>
    <t>Goldmünzen</t>
  </si>
  <si>
    <t>Clan/Religion</t>
  </si>
  <si>
    <t>Nä. LVL</t>
  </si>
  <si>
    <t>Silbermünzen</t>
  </si>
  <si>
    <t>Gesch/Alter</t>
  </si>
  <si>
    <t>Gems(gesamt)</t>
  </si>
  <si>
    <t>Zul. Tragl.</t>
  </si>
  <si>
    <t>Türen offnen</t>
  </si>
  <si>
    <t>Stangen verbiegen</t>
  </si>
  <si>
    <t>Reaktionsmodifikator</t>
  </si>
  <si>
    <t>Fernwaffenmodifikator</t>
  </si>
  <si>
    <t>Ausweichmodifikator</t>
  </si>
  <si>
    <t>Trefferpunkte:</t>
  </si>
  <si>
    <t>Körperl. Schock</t>
  </si>
  <si>
    <t>Wiedererweckung</t>
  </si>
  <si>
    <t>RW gegen Gift</t>
  </si>
  <si>
    <t>Intelligenz</t>
  </si>
  <si>
    <t>Anzahl Sprachen</t>
  </si>
  <si>
    <t>Höchst. Zaubergr.</t>
  </si>
  <si>
    <t>Zauber verstehen</t>
  </si>
  <si>
    <t>Max.Zauber/Stufe</t>
  </si>
  <si>
    <t>Zusätzl. Zauber</t>
  </si>
  <si>
    <t>Chance das Zauber versagt</t>
  </si>
  <si>
    <t>Immunität gegen</t>
  </si>
  <si>
    <t>Höchstzahl Gefolgsleute</t>
  </si>
  <si>
    <t>Grundloyalität</t>
  </si>
  <si>
    <t>Trefferpunkte</t>
  </si>
  <si>
    <t>Potions:</t>
  </si>
  <si>
    <t>Anz.</t>
  </si>
  <si>
    <t>Rettungswürfe</t>
  </si>
  <si>
    <t>Bon.</t>
  </si>
  <si>
    <t>Base</t>
  </si>
  <si>
    <t>Wurf</t>
  </si>
  <si>
    <t>Psi-Punkte</t>
  </si>
  <si>
    <t>Lähmung/Gift/Todesmagie</t>
  </si>
  <si>
    <t>Schaden:</t>
  </si>
  <si>
    <t>Zauberstäbe/-stecken/-ruten</t>
  </si>
  <si>
    <t>Versteinerung/Verwandlung</t>
  </si>
  <si>
    <t>Temporäre Effekte:</t>
  </si>
  <si>
    <t xml:space="preserve">Zauber </t>
  </si>
  <si>
    <t>Base/Dex</t>
  </si>
  <si>
    <t>Rüstung</t>
  </si>
  <si>
    <t>AC</t>
  </si>
  <si>
    <t>Fernwaffen</t>
  </si>
  <si>
    <t>Waffen</t>
  </si>
  <si>
    <t>#A</t>
  </si>
  <si>
    <t>Trefferchance</t>
  </si>
  <si>
    <t>Schadensmod.</t>
  </si>
  <si>
    <t>Schaden (K/M/G)</t>
  </si>
  <si>
    <t>Wirkung</t>
  </si>
  <si>
    <t>Initiative</t>
  </si>
  <si>
    <t>1.</t>
  </si>
  <si>
    <t>5.</t>
  </si>
  <si>
    <t>9.</t>
  </si>
  <si>
    <t>2.</t>
  </si>
  <si>
    <t>6.</t>
  </si>
  <si>
    <t>3.</t>
  </si>
  <si>
    <t>7.</t>
  </si>
  <si>
    <t>4.</t>
  </si>
  <si>
    <t>8.</t>
  </si>
  <si>
    <t>10.</t>
  </si>
  <si>
    <t>Verschiedene Magische Gegenstände</t>
  </si>
  <si>
    <t>Mod. ggn magis. Angriffe</t>
  </si>
  <si>
    <t>Bauchrednertrank</t>
  </si>
  <si>
    <t>Beredsamkeitstrank</t>
  </si>
  <si>
    <t>Brandöl</t>
  </si>
  <si>
    <t>Einbildungstrank</t>
  </si>
  <si>
    <t>Entzauberungstrank</t>
  </si>
  <si>
    <t>Farbentrank</t>
  </si>
  <si>
    <t>Feuerschutztrank</t>
  </si>
  <si>
    <t>Flugtrank</t>
  </si>
  <si>
    <t>Gasförmigkeitstrank</t>
  </si>
  <si>
    <t>Gifttrank</t>
  </si>
  <si>
    <t>Heiltrank(1w8)</t>
  </si>
  <si>
    <t>Heilungselixier(2w8)</t>
  </si>
  <si>
    <t>Heilungselixier(3w8)</t>
  </si>
  <si>
    <t>Heldentrank</t>
  </si>
  <si>
    <t>Klettertrank</t>
  </si>
  <si>
    <t>Langlebigkeitstrank</t>
  </si>
  <si>
    <t>Liebestrank</t>
  </si>
  <si>
    <t>Öl der Gechicklichkeit</t>
  </si>
  <si>
    <t>Öl der Dauerhaftigkeit</t>
  </si>
  <si>
    <t>Säuerschutztrank</t>
  </si>
  <si>
    <t>Schatzsuchertrank</t>
  </si>
  <si>
    <t>Schnelligkeitstrank</t>
  </si>
  <si>
    <t>Schmieröl</t>
  </si>
  <si>
    <t>Schutzöl gegen Elementare</t>
  </si>
  <si>
    <t>Schwebetrank</t>
  </si>
  <si>
    <t>Trank des Gedankenlesens</t>
  </si>
  <si>
    <t>Trank der Herrschaft Drachen</t>
  </si>
  <si>
    <t>Trank der Herrschaft Riesen</t>
  </si>
  <si>
    <t>Trank der Herrschaft Tiere</t>
  </si>
  <si>
    <t>Trank der Herrschaft Untote</t>
  </si>
  <si>
    <t>Trank der Lebenskraft</t>
  </si>
  <si>
    <t>Trank der Riesenstärke(19)</t>
  </si>
  <si>
    <t>Trank der Riesenstärke(20)</t>
  </si>
  <si>
    <t>Trank der Riesenstärke(21)</t>
  </si>
  <si>
    <t>Trank der Riesenstärke(22)</t>
  </si>
  <si>
    <t>Trank der Riesenstärke(23)</t>
  </si>
  <si>
    <t>Trank der Riesenstärke(24)</t>
  </si>
  <si>
    <t>Trank der Riesenstärke(25)</t>
  </si>
  <si>
    <t>Trank des Wasseratmens</t>
  </si>
  <si>
    <t>Unsichtbarkeitstrank</t>
  </si>
  <si>
    <t>Vergrößerungstrank</t>
  </si>
  <si>
    <t>Verkleinerungstrank</t>
  </si>
  <si>
    <t>Lederpanzer</t>
  </si>
  <si>
    <t>Ringpanzer</t>
  </si>
  <si>
    <t>Lamellenpanzer</t>
  </si>
  <si>
    <t>Schuppenpanzer</t>
  </si>
  <si>
    <t>Kettenhemd</t>
  </si>
  <si>
    <t>Schienenpanzer</t>
  </si>
  <si>
    <t>Plattenpanzer</t>
  </si>
  <si>
    <t>Feldharnisch</t>
  </si>
  <si>
    <t>Prunkharnisch</t>
  </si>
  <si>
    <t>Klinge</t>
  </si>
  <si>
    <t>Spitze</t>
  </si>
  <si>
    <t>Wucht</t>
  </si>
  <si>
    <t>Rüstung:</t>
  </si>
  <si>
    <t>Magisch:</t>
  </si>
  <si>
    <t>Schild:</t>
  </si>
  <si>
    <t>Kurzschild</t>
  </si>
  <si>
    <t>Langschild</t>
  </si>
  <si>
    <t>Turmschild</t>
  </si>
  <si>
    <t>Tarche</t>
  </si>
  <si>
    <t>kein Schild</t>
  </si>
  <si>
    <t>gg. Fernwaffen</t>
  </si>
  <si>
    <t>Lederwarms</t>
  </si>
  <si>
    <t>Waffen:</t>
  </si>
  <si>
    <t>Grossaxt</t>
  </si>
  <si>
    <t>Langschwert</t>
  </si>
  <si>
    <t>Kurzschwert</t>
  </si>
  <si>
    <t>Zweihänder</t>
  </si>
  <si>
    <t>1. Waffe</t>
  </si>
  <si>
    <t>2. Waffe</t>
  </si>
  <si>
    <t>Magisch</t>
  </si>
  <si>
    <t>3. Waffe</t>
  </si>
  <si>
    <t>Schild</t>
  </si>
  <si>
    <t>Spezial.</t>
  </si>
  <si>
    <t>keine Waffe</t>
  </si>
  <si>
    <t>Spezialisierungsgrad</t>
  </si>
  <si>
    <t>nicht Spez.</t>
  </si>
  <si>
    <t>Spezialisiert</t>
  </si>
  <si>
    <t>Meister</t>
  </si>
  <si>
    <t>High-Master</t>
  </si>
  <si>
    <t>Grand-master</t>
  </si>
  <si>
    <t>Beherschungsgrad</t>
  </si>
  <si>
    <t>LVL</t>
  </si>
  <si>
    <t>THACO Kämpfer</t>
  </si>
  <si>
    <t>THACO Priester</t>
  </si>
  <si>
    <t>THACO Dieb</t>
  </si>
  <si>
    <t>THACO Magier</t>
  </si>
  <si>
    <t>1W8</t>
  </si>
  <si>
    <t>1w12</t>
  </si>
  <si>
    <t>1w10</t>
  </si>
  <si>
    <t>3w6</t>
  </si>
  <si>
    <t>1w6</t>
  </si>
  <si>
    <t>Spezial:</t>
  </si>
  <si>
    <t>Spezielle Mag. Items die den AC verbessern/verschlechtern</t>
  </si>
  <si>
    <t>Ring of Protection +1</t>
  </si>
  <si>
    <t>Ring of Protection +2</t>
  </si>
  <si>
    <t>Ring of Protection +3</t>
  </si>
  <si>
    <t>Ring of Protection +4</t>
  </si>
  <si>
    <t>Ring of Protection +5</t>
  </si>
  <si>
    <t>Bracers of Defense Ac 6</t>
  </si>
  <si>
    <t>Bracers of Defense Ac 5</t>
  </si>
  <si>
    <t>Bracers of Defense Ac 4</t>
  </si>
  <si>
    <t>Bracers of Defense Ac 3</t>
  </si>
  <si>
    <t>Bracers of Defense Ac 2</t>
  </si>
  <si>
    <t>keine Rüstung</t>
  </si>
  <si>
    <t>kein</t>
  </si>
  <si>
    <t>11.</t>
  </si>
  <si>
    <t>12.</t>
  </si>
  <si>
    <t>Ausrüstung</t>
  </si>
  <si>
    <t>Attribute</t>
  </si>
  <si>
    <t>Fertigkeiten</t>
  </si>
  <si>
    <t>4</t>
  </si>
  <si>
    <t>3</t>
  </si>
  <si>
    <t>5</t>
  </si>
  <si>
    <t>7</t>
  </si>
  <si>
    <t>8</t>
  </si>
  <si>
    <t>9</t>
  </si>
  <si>
    <t>10</t>
  </si>
  <si>
    <t>S</t>
  </si>
  <si>
    <t>15</t>
  </si>
  <si>
    <t>G</t>
  </si>
  <si>
    <t>K</t>
  </si>
  <si>
    <t>I</t>
  </si>
  <si>
    <t>Magische Gegenstände</t>
  </si>
  <si>
    <t/>
  </si>
  <si>
    <t>Kämpferbonus bei außergewöhnlicher Stärke</t>
  </si>
  <si>
    <t>AD&amp;D Charakterbogen Generator V1.03</t>
  </si>
  <si>
    <t>Kontakt:</t>
  </si>
  <si>
    <t>Tragoul@Gmx.de</t>
  </si>
  <si>
    <t>Anmerkungen:</t>
  </si>
  <si>
    <t>In der Tabelle Eingabe die Eingabefelder je nach Bedarf füllen.</t>
  </si>
  <si>
    <t>Anmerkungen,Wünsche,Meldung von Bugs sind Erwünscht.</t>
  </si>
  <si>
    <t>Momentan unterstützte Features:</t>
  </si>
  <si>
    <t>1.) Eingabe,Prüfung von Attributen</t>
  </si>
  <si>
    <t>2.) Erweiterung der Attribute um Rassenwerte</t>
  </si>
  <si>
    <t>3.) Eingabe von Name,Geschlecht,Religion,Alter,Treasure</t>
  </si>
  <si>
    <t>4.) Multi-Class und Single-Classverwaltung</t>
  </si>
  <si>
    <t>5.) Xp-Berechnung zur nächsten Stufe</t>
  </si>
  <si>
    <t>6.) Eingabe der akt. Exp</t>
  </si>
  <si>
    <t xml:space="preserve">7.) Auswahl von Beruf und Rasse </t>
  </si>
  <si>
    <t>9.) Zu sämtlichen Attributen werden ALLE Rechenwerte ermittelt und ausgegeben (z.b. bei Stärke Schadensmod,Trefferchance etc.)</t>
  </si>
  <si>
    <t>10.) Automatische Ermittlung des Bewegungsfaktors</t>
  </si>
  <si>
    <t>11.) Angabe des akt. LVLs bei Single/Multi-Class</t>
  </si>
  <si>
    <t>13.) Zufallsermittlung des Stärkebonis eines Kämpfers bei Stärke 18(xx) oder man. Eingabe</t>
  </si>
  <si>
    <t>12.) Auswahl zwischen der Eingabe der Trefferpunkte oder der automatischen Berechnung(Zufall) der TP inkl. Konstibonus</t>
  </si>
  <si>
    <t>14.) Errechnung der PSI-Punkte bei Charakteren mit Psionischen Fähigkeiten</t>
  </si>
  <si>
    <t>16.) Verwaltung von bis zu 5 unterschiedlichen Potions mit Mengenanzahl</t>
  </si>
  <si>
    <t>17.) Auswahl einer Rüstung,Schild,Specials die aut. Eine Rüstungsklasse errechnen mit demjeweiligen Malis/Bonis</t>
  </si>
  <si>
    <t>18.) Verwaltung von bis zu 3 Waffen mit der Berechnung von THACO, Schadensboni,Initiative; Waffenart</t>
  </si>
  <si>
    <t>19.) Auswahl von bis zu 20 Fertigkeiten mit Angabe eines Fertigkeitswertes.(Entweder 1-20 oder 1% - 99%)</t>
  </si>
  <si>
    <t>weitere Features: Cooming Soon.</t>
  </si>
  <si>
    <t>W</t>
  </si>
  <si>
    <t xml:space="preserve">I 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</si>
  <si>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</si>
  <si>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</si>
  <si>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</si>
  <si>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</si>
  <si>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</si>
  <si>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</si>
  <si>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</si>
  <si>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</si>
  <si>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</si>
  <si>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22</t>
  </si>
  <si>
    <t>23</t>
  </si>
  <si>
    <t>24</t>
  </si>
  <si>
    <t>27</t>
  </si>
  <si>
    <t>Handarmbrust</t>
  </si>
  <si>
    <t>1w3</t>
  </si>
  <si>
    <t>1w2</t>
  </si>
  <si>
    <t>Leichte Armbrust</t>
  </si>
  <si>
    <t>1w4</t>
  </si>
  <si>
    <t>Schwere Armbrust</t>
  </si>
  <si>
    <t>1w4 + 1</t>
  </si>
  <si>
    <t>1w6 + 1</t>
  </si>
  <si>
    <t>Bauernspieß</t>
  </si>
  <si>
    <t>Blasrohr</t>
  </si>
  <si>
    <t>Komposit-Kurzbogen</t>
  </si>
  <si>
    <t>Komposit-Langbogen</t>
  </si>
  <si>
    <t>Kurzbogen</t>
  </si>
  <si>
    <t>Langbogen</t>
  </si>
  <si>
    <t>1w8</t>
  </si>
  <si>
    <t>Dolch</t>
  </si>
  <si>
    <t>Dreizack</t>
  </si>
  <si>
    <t>3w4</t>
  </si>
  <si>
    <t>Flegel</t>
  </si>
  <si>
    <t>2w4</t>
  </si>
  <si>
    <t>Geißel</t>
  </si>
  <si>
    <t>Hand/Wurfbeil</t>
  </si>
  <si>
    <t>Harpune</t>
  </si>
  <si>
    <t>2w6</t>
  </si>
  <si>
    <t>Keule</t>
  </si>
  <si>
    <t>Kriegshammer</t>
  </si>
  <si>
    <t>Lanze</t>
  </si>
  <si>
    <t>1w8 + 1</t>
  </si>
  <si>
    <t>Messer</t>
  </si>
  <si>
    <t>S/K</t>
  </si>
  <si>
    <t>Morgenstern</t>
  </si>
  <si>
    <t>Peitsche</t>
  </si>
  <si>
    <t>Schleuder</t>
  </si>
  <si>
    <t>Bastardschwert einhand</t>
  </si>
  <si>
    <t>Bastardschwert zweihand</t>
  </si>
  <si>
    <t>2w8</t>
  </si>
  <si>
    <t>Khopesh</t>
  </si>
  <si>
    <t>Krummsäbel</t>
  </si>
  <si>
    <t>Sichel</t>
  </si>
  <si>
    <t>Speer</t>
  </si>
  <si>
    <t>Ahlspieß</t>
  </si>
  <si>
    <t>Bartaxt</t>
  </si>
  <si>
    <t>Sense</t>
  </si>
  <si>
    <t>Glefe</t>
  </si>
  <si>
    <t>Hakensense</t>
  </si>
  <si>
    <t>Hellebarde</t>
  </si>
  <si>
    <t>Helmbarde</t>
  </si>
  <si>
    <t>Helmbarte</t>
  </si>
  <si>
    <t>Kriegsgabel</t>
  </si>
  <si>
    <t>Kriegssense</t>
  </si>
  <si>
    <t>Luzerner Hammer</t>
  </si>
  <si>
    <t>S/W</t>
  </si>
  <si>
    <t>Partisane</t>
  </si>
  <si>
    <t>Stangenbeil</t>
  </si>
  <si>
    <t>Streitaxt</t>
  </si>
  <si>
    <t>Update V1.04</t>
  </si>
  <si>
    <t>1.) Anzahl der Waffen stark erweitert</t>
  </si>
  <si>
    <t>Schaden gegen K/M</t>
  </si>
  <si>
    <t>Schaden gegen L/G</t>
  </si>
  <si>
    <t>4.) Bei der Waffenauswahl werden die Stats angezeigt.</t>
  </si>
  <si>
    <t>6.) Fehler behoben bei der Ermittlung der Rettungswurfbonis.</t>
  </si>
  <si>
    <t>8.) Angabe der Mindestwerte des Berufes und evtl. Fehlermeldung falls dieser Wert nicht erreicht ist.</t>
  </si>
  <si>
    <t>15.) Automatische Errechnung der Rettungwürfe mit Einbeziehung des Weisheitsbonis,Charakter und diversen mag. Items (z.b. ROP +1)</t>
  </si>
  <si>
    <t>5.) Kommentare zur Beschreibung des Fehlermeldungsbereichs hinzugefügt.</t>
  </si>
  <si>
    <t>7.) Eingabemaske das Feld Gewicht entfernt.</t>
  </si>
  <si>
    <t>2.) Erweiterung der Skills von 20 auf 32</t>
  </si>
  <si>
    <t>8.) Zusätzliche Prüfplausis eingefügt mit Kommentar</t>
  </si>
  <si>
    <t>Besonderes:</t>
  </si>
  <si>
    <t>AC:</t>
  </si>
  <si>
    <t>THACO</t>
  </si>
  <si>
    <t>Beweungsfaktor</t>
  </si>
  <si>
    <t>9.) Manipulationsmöglichkeit von AC,THAC0,BF,Schadensmodifikator (wegen besonderer Magischer Items)</t>
  </si>
  <si>
    <t>Rassenspezifikas</t>
  </si>
  <si>
    <t>Berufspezifikas</t>
  </si>
  <si>
    <t>10.) Erweiterung des Bogens um Rassen/Charakterspezifikas (noch manuell)</t>
  </si>
  <si>
    <t>11.) Fehler behoben bei der Ermittlung des nat. AC's vom Barbar</t>
  </si>
  <si>
    <t>12.) Fehler behoben bei der Ermittlung der Mindestattribute des Barbars.</t>
  </si>
  <si>
    <t>3.) Bei Auswahl nur einer Waffe werden die anderen 2 Waffen und Ihre Werte mit "-" belegt.</t>
  </si>
  <si>
    <t>Elfen</t>
  </si>
  <si>
    <t>klein&amp;schlank; werden ca. 1200 Jahre alt; Resistent gegen</t>
  </si>
  <si>
    <t>Bezauberungen(90%), +1 Trefferchance bei Langbogen und</t>
  </si>
  <si>
    <t xml:space="preserve">Kurzschwert; Infravision von 18m, Geheimtüren/Versteckte </t>
  </si>
  <si>
    <t xml:space="preserve">Türen entdecken schon beim vorbeigehen(1 auf 1w6) beim </t>
  </si>
  <si>
    <t>suchen (1/2 auf 1w6); +1 Geschick; -1 Konstitution</t>
  </si>
  <si>
    <t>10% Erfahrungspunktebonus</t>
  </si>
  <si>
    <t>+2 auf Rettungswürfe verteilbar</t>
  </si>
  <si>
    <t>Update V1.05</t>
  </si>
  <si>
    <t>1.) Mul als Rasse entfernt</t>
  </si>
  <si>
    <t>V1.05</t>
  </si>
  <si>
    <t xml:space="preserve">sehr klein; werden ca. 600 Jahre alt; ausgesprochener </t>
  </si>
  <si>
    <t>Sinn für Humor/Streiche; Edelsteinexperten; besondere</t>
  </si>
  <si>
    <t xml:space="preserve">Infravision von 18m; +1 Intelligenz; -1 Weisheit.; </t>
  </si>
  <si>
    <t>Gute Chancen Gefälle im Gangboden zu erkennen/ Einsturz-</t>
  </si>
  <si>
    <t>gefährdete Wände/Böden//Tiefe unter der der Oberfläche</t>
  </si>
  <si>
    <t>kleinwüchsig/kräftig; 350 -450 Jahre alt; mürrisch und wortkarg</t>
  </si>
  <si>
    <t>lieben Bier/Met/Gold; Widerstand gegen Gifte; gegen Goblins/</t>
  </si>
  <si>
    <t>Zuschläge auf RW; gegen Goblins/Gnome +1 auf TS</t>
  </si>
  <si>
    <t>gegen Oger/Trolle/Riesen/Schraten... -4 für die Gegner auf TS</t>
  </si>
  <si>
    <t>Orks/Halborks/Hobgoblins +1 TS; Oger/Trolle/Riesen/Titaten</t>
  </si>
  <si>
    <t>erhalten -4 auf TS; Infravision von 18m; Gute Chance folgende</t>
  </si>
  <si>
    <t>Dinge zu erkennen: Gefälle/neu angelegte Tunnel/verschieb-</t>
  </si>
  <si>
    <t>bare Wände/Räume/Steinfallen/Tiefe unter Oberfläche</t>
  </si>
  <si>
    <t>+1 Konstitution; -1 Charisma</t>
  </si>
  <si>
    <t>Halbelf</t>
  </si>
  <si>
    <t>Vorfahren(Mensch/Elf); Resistenz gegen Bezauberungen</t>
  </si>
  <si>
    <t>von 30%; Infravision von 18m ; Instinkt für geheime und</t>
  </si>
  <si>
    <t>versteckte Türen(1 auf 1w6) beim vorbeigehen (1-3 auf</t>
  </si>
  <si>
    <t xml:space="preserve">1w6 beim untersuchen); </t>
  </si>
  <si>
    <t>Halblinge</t>
  </si>
  <si>
    <t>Attributswurf auf</t>
  </si>
  <si>
    <t>3.) 4 der Skills manuell eingebbar mit Attributswurf,Bezeichnung.</t>
  </si>
  <si>
    <t>2.) Rassenspezifikas werden automatisch angezeigt.(Mensch,Halb-Elf, Zwerg, Gnom, Halbling, Elf)</t>
  </si>
  <si>
    <t>Akrobatik</t>
  </si>
  <si>
    <t>Reiten Flugtiere</t>
  </si>
  <si>
    <t>4.) Bug behoben der bei Dualklasses einen falschen Beruf angezeigt hat</t>
  </si>
  <si>
    <t>6.) Bug behoben bei Ermittlung Charismamindestwerte.</t>
  </si>
  <si>
    <t>5.) Bug behoben bei Prüfung auf Magierklasse, Diebesklasse</t>
  </si>
  <si>
    <t>7.) Bug behoben wodurch THAC0-Werte berechnet wurden bei Sekundär/Tertiärwaffe obwohl keine Sek/Tertiärwaffe vorliegt</t>
  </si>
  <si>
    <t>Lebenserwartung ca. 150 Jahre; zusätzliche Sprache(Z.b.</t>
  </si>
  <si>
    <t>Zwergen,Elfen...); für alle 4 Konstipunkte +1 auf RW gegen</t>
  </si>
  <si>
    <t>Wurfwaffen/Schleudern; Möglichkeit der Infravision je nach</t>
  </si>
  <si>
    <t xml:space="preserve">Abstammung; Erkennen von Gefälle unterirdisch 1-3 auf </t>
  </si>
  <si>
    <t>1w4; Erkennen der Richtung unterirdisch 1-3 auf 1w6;</t>
  </si>
  <si>
    <t>-1 auf Stärke; +1 auf Geschick</t>
  </si>
  <si>
    <t>Zauber/Zauberstäbe/-stecken/-ruten/Gift; +1 auf TW bei</t>
  </si>
  <si>
    <t>Wulfgar</t>
  </si>
  <si>
    <t>Tempus</t>
  </si>
  <si>
    <t>zusätzl. +1 auf 1 Attribut auf LVL 14</t>
  </si>
  <si>
    <t>Erhöhte Fertigkeitspunkte; max. Beherschungsgrad</t>
  </si>
  <si>
    <t>Grand Master; kann eine Burg errichten; Geld horten;</t>
  </si>
  <si>
    <t>kann Anhänger kaufen für Burg etc.</t>
  </si>
  <si>
    <t>vorhandensein böser Strömungen bis 18m spüren; +2 auf alle</t>
  </si>
  <si>
    <t>Rettungswürfe; immun gegen alle Krankheiten(keine Fluch-</t>
  </si>
  <si>
    <t>krankheiten!); durch Handauflegen wunden heilen(2/Stufe)</t>
  </si>
  <si>
    <t>oder Krankheiten heilen; wird von einer Schutzaura umgeben</t>
  </si>
  <si>
    <t>erhält einen Bannkreis falls er ein heiliges Schwert führt;</t>
  </si>
  <si>
    <t>ab der 3. Stufe Turn Undead; ab 9 Stufe Priesterzauber;</t>
  </si>
  <si>
    <t>nicht mehr wie 10 Mag. Items; kein Vermögen anhäufen, 10%</t>
  </si>
  <si>
    <t>Spenden; ab 4. Stufe KANN er einen besonderen Begl. Finden</t>
  </si>
  <si>
    <t>kann Spuren lesen(jede 3 Stufe +1); Leise Bewegen/Schatten</t>
  </si>
  <si>
    <t>verstecken wenn er eine Lederrüstung trägt und in der Natur</t>
  </si>
  <si>
    <t xml:space="preserve">(sonst -50%); ab 2 Stufe wählt er einen Erzfeind; gute </t>
  </si>
  <si>
    <t>Kenntnis von Tieren; kann sie schnell freundlich stimmen;</t>
  </si>
  <si>
    <t>ab 8. Stufe kann er Priesterzauber wirken, kann sich</t>
  </si>
  <si>
    <t xml:space="preserve">später in Tiere verwandeln und erhält ggf. tierische </t>
  </si>
  <si>
    <t>Zauberer</t>
  </si>
  <si>
    <t>Zauber wirken je nach Stufe; Magie entdecken, spüren,</t>
  </si>
  <si>
    <t>lesen. Auf höheren LVL magische Items herstellen.</t>
  </si>
  <si>
    <t>Priestersprüche wirken; je nach Gottheit zusätzliche</t>
  </si>
  <si>
    <t>Vorteile/Nachteile; Untote vertreiben; darf keine spitzen</t>
  </si>
  <si>
    <t>Waffen benutzen; max. Behersschungsgrad Spezialisiert</t>
  </si>
  <si>
    <t>keine Beherschungsgrad möglich</t>
  </si>
  <si>
    <t>Begleiter; max. Behersschunggrad High Master</t>
  </si>
  <si>
    <t>Diebe</t>
  </si>
  <si>
    <t>max. Behersschungsgrad Spezialisiert; kann sich einer Gilde</t>
  </si>
  <si>
    <t>anschliessen; Taschendiebstahl, Schlösser öffnen; Fallen</t>
  </si>
  <si>
    <t>finden/entschärfen;Leise bewegen; Im Schatten verstecken</t>
  </si>
  <si>
    <t>Geräusche hören; Wände erklimmen; Sprache lesen; ggf.</t>
  </si>
  <si>
    <t>Fallen stellen(falls gelernt) [alle je nach LVL/GES/Rasse]</t>
  </si>
  <si>
    <t>erhöhter Schaden durch hinterhältigen Angriff; Beherscht</t>
  </si>
  <si>
    <t>die Gaunersprache; ab lvl 10 kann er Magier/Priesterrollen</t>
  </si>
  <si>
    <t>benutzen (25% Chance der Fehlwirkung)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</si>
</sst>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Blue]&quot;OK&quot;;[Red]&quot;Wert erfüllt nicht Mindestwert&quot;"/>
    <numFmt numFmtId="173" formatCode="[Blue]&quot;OK&quot;;[Red]&quot;Wert außerhalb Wertbereich&quot;"/>
    <numFmt numFmtId="174" formatCode="[Blue]&quot;OK&quot;;[Red]&quot;Fehler&quot;"/>
    <numFmt numFmtId="175" formatCode="[Blue]#####\ ;[Red]&quot;-&quot;####;;&quot;Fehler&quot;"/>
    <numFmt numFmtId="176" formatCode="\(##\);;&quot;--&quot;"/>
    <numFmt numFmtId="177" formatCode="\L\V\L\ ##"/>
    <numFmt numFmtId="178" formatCode="##;[Red]General;[Red]General;\-\-"/>
    <numFmt numFmtId="179" formatCode="\+#;;\-"/>
    <numFmt numFmtId="180" formatCode="\+#;#;\-"/>
    <numFmt numFmtId="181" formatCode="\]#####\ ;&quot;-&quot;####;;&quot;Fehler&quot;"/>
    <numFmt numFmtId="182" formatCode="###&quot;%&quot;"/>
    <numFmt numFmtId="183" formatCode="##.#;[Red]General;[Red]General;\-\-"/>
    <numFmt numFmtId="184" formatCode="\+#;\-#;\-"/>
    <numFmt numFmtId="185" formatCode="##;\-##;;"/>
    <numFmt numFmtId="186" formatCode="#;;\-"/>
    <numFmt numFmtId="187" formatCode="\+#;;"/>
    <numFmt numFmtId="188" formatCode="##;\-;\-;"/>
    <numFmt numFmtId="189" formatCode="##;;&quot;--&quot;"/>
    <numFmt numFmtId="190" formatCode="##;\-##;0;"/>
    <numFmt numFmtId="191" formatCode="0.0"/>
    <numFmt numFmtId="192" formatCode="#;#;\-"/>
    <numFmt numFmtId="193" formatCode="#;\-#;\-"/>
    <numFmt numFmtId="194" formatCode="#;\-#;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2"/>
    </font>
    <font>
      <sz val="10"/>
      <name val="Arioso"/>
      <family val="0"/>
    </font>
    <font>
      <sz val="10"/>
      <color indexed="12"/>
      <name val="Arioso"/>
      <family val="0"/>
    </font>
    <font>
      <sz val="10"/>
      <color indexed="10"/>
      <name val="Arioso"/>
      <family val="0"/>
    </font>
    <font>
      <sz val="10"/>
      <color indexed="8"/>
      <name val="Arioso"/>
      <family val="0"/>
    </font>
    <font>
      <sz val="10"/>
      <color indexed="53"/>
      <name val="Arioso"/>
      <family val="0"/>
    </font>
    <font>
      <b/>
      <sz val="10"/>
      <name val="Arioso"/>
      <family val="0"/>
    </font>
    <font>
      <sz val="8"/>
      <name val="Arioso"/>
      <family val="0"/>
    </font>
    <font>
      <sz val="9"/>
      <name val="Arioso"/>
      <family val="0"/>
    </font>
    <font>
      <b/>
      <sz val="10"/>
      <color indexed="10"/>
      <name val="Arial"/>
      <family val="2"/>
    </font>
    <font>
      <b/>
      <sz val="9"/>
      <name val="Arioso"/>
      <family val="0"/>
    </font>
    <font>
      <b/>
      <sz val="8"/>
      <name val="Arioso"/>
      <family val="0"/>
    </font>
    <font>
      <b/>
      <sz val="9"/>
      <name val="AD&amp;D-Bonis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0"/>
    </font>
    <font>
      <sz val="8"/>
      <name val="Arial"/>
      <family val="2"/>
    </font>
    <font>
      <sz val="8"/>
      <name val="Tahoma"/>
      <family val="2"/>
    </font>
    <font>
      <sz val="26"/>
      <color indexed="10"/>
      <name val="Book Antiqua"/>
      <family val="1"/>
    </font>
    <font>
      <sz val="10"/>
      <color indexed="10"/>
      <name val="Arial"/>
      <family val="2"/>
    </font>
    <font>
      <b/>
      <sz val="8"/>
      <name val="Tahoma"/>
      <family val="0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sz val="8"/>
      <color indexed="12"/>
      <name val="Arioso"/>
      <family val="0"/>
    </font>
    <font>
      <b/>
      <i/>
      <sz val="18"/>
      <name val="Book Antiqua"/>
      <family val="1"/>
    </font>
    <font>
      <sz val="8"/>
      <color indexed="9"/>
      <name val="Book Antiqua"/>
      <family val="1"/>
    </font>
    <font>
      <b/>
      <i/>
      <sz val="18"/>
      <color indexed="9"/>
      <name val="Book Antiqua"/>
      <family val="1"/>
    </font>
    <font>
      <b/>
      <i/>
      <sz val="12"/>
      <name val="Book Antiqua"/>
      <family val="1"/>
    </font>
    <font>
      <sz val="8"/>
      <color indexed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oso"/>
      <family val="0"/>
    </font>
    <font>
      <sz val="9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4" fillId="2" borderId="0" xfId="0" applyFont="1" applyFill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 locked="0"/>
    </xf>
    <xf numFmtId="176" fontId="1" fillId="0" borderId="0" xfId="0" applyNumberFormat="1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Continuous"/>
      <protection hidden="1"/>
    </xf>
    <xf numFmtId="0" fontId="5" fillId="0" borderId="2" xfId="0" applyFont="1" applyBorder="1" applyAlignment="1" applyProtection="1">
      <alignment horizontal="centerContinuous"/>
      <protection hidden="1"/>
    </xf>
    <xf numFmtId="0" fontId="5" fillId="0" borderId="3" xfId="0" applyFont="1" applyBorder="1" applyAlignment="1" applyProtection="1">
      <alignment horizontal="centerContinuous"/>
      <protection hidden="1"/>
    </xf>
    <xf numFmtId="0" fontId="5" fillId="0" borderId="0" xfId="0" applyFont="1" applyAlignment="1" applyProtection="1">
      <alignment/>
      <protection hidden="1"/>
    </xf>
    <xf numFmtId="0" fontId="5" fillId="0" borderId="4" xfId="0" applyFont="1" applyBorder="1" applyAlignment="1" applyProtection="1">
      <alignment horizontal="centerContinuous"/>
      <protection hidden="1"/>
    </xf>
    <xf numFmtId="0" fontId="5" fillId="0" borderId="5" xfId="0" applyFont="1" applyBorder="1" applyAlignment="1" applyProtection="1">
      <alignment horizontal="centerContinuous"/>
      <protection hidden="1"/>
    </xf>
    <xf numFmtId="0" fontId="5" fillId="0" borderId="6" xfId="0" applyFont="1" applyBorder="1" applyAlignment="1" applyProtection="1">
      <alignment horizontal="centerContinuous"/>
      <protection hidden="1"/>
    </xf>
    <xf numFmtId="0" fontId="5" fillId="0" borderId="7" xfId="0" applyFont="1" applyBorder="1" applyAlignment="1" applyProtection="1">
      <alignment horizontal="centerContinuous"/>
      <protection hidden="1"/>
    </xf>
    <xf numFmtId="0" fontId="6" fillId="0" borderId="7" xfId="0" applyFont="1" applyFill="1" applyBorder="1" applyAlignment="1" applyProtection="1">
      <alignment horizontal="centerContinuous"/>
      <protection hidden="1"/>
    </xf>
    <xf numFmtId="175" fontId="5" fillId="0" borderId="4" xfId="0" applyNumberFormat="1" applyFont="1" applyBorder="1" applyAlignment="1" applyProtection="1">
      <alignment horizontal="centerContinuous"/>
      <protection hidden="1"/>
    </xf>
    <xf numFmtId="175" fontId="5" fillId="0" borderId="5" xfId="0" applyNumberFormat="1" applyFont="1" applyBorder="1" applyAlignment="1" applyProtection="1">
      <alignment horizontal="centerContinuous"/>
      <protection hidden="1"/>
    </xf>
    <xf numFmtId="175" fontId="5" fillId="0" borderId="6" xfId="0" applyNumberFormat="1" applyFont="1" applyBorder="1" applyAlignment="1" applyProtection="1">
      <alignment horizontal="centerContinuous"/>
      <protection hidden="1"/>
    </xf>
    <xf numFmtId="0" fontId="5" fillId="0" borderId="8" xfId="0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Continuous"/>
      <protection hidden="1"/>
    </xf>
    <xf numFmtId="0" fontId="5" fillId="0" borderId="9" xfId="0" applyFont="1" applyBorder="1" applyAlignment="1" applyProtection="1">
      <alignment horizontal="centerContinuous"/>
      <protection hidden="1"/>
    </xf>
    <xf numFmtId="0" fontId="5" fillId="0" borderId="10" xfId="0" applyFont="1" applyBorder="1" applyAlignment="1" applyProtection="1">
      <alignment horizontal="centerContinuous"/>
      <protection hidden="1"/>
    </xf>
    <xf numFmtId="3" fontId="5" fillId="0" borderId="9" xfId="0" applyNumberFormat="1" applyFont="1" applyBorder="1" applyAlignment="1" applyProtection="1">
      <alignment horizontal="centerContinuous"/>
      <protection hidden="1"/>
    </xf>
    <xf numFmtId="175" fontId="5" fillId="0" borderId="8" xfId="0" applyNumberFormat="1" applyFont="1" applyBorder="1" applyAlignment="1" applyProtection="1">
      <alignment horizontal="centerContinuous"/>
      <protection hidden="1"/>
    </xf>
    <xf numFmtId="175" fontId="5" fillId="0" borderId="0" xfId="0" applyNumberFormat="1" applyFont="1" applyBorder="1" applyAlignment="1" applyProtection="1">
      <alignment horizontal="centerContinuous"/>
      <protection hidden="1"/>
    </xf>
    <xf numFmtId="175" fontId="5" fillId="0" borderId="9" xfId="0" applyNumberFormat="1" applyFont="1" applyBorder="1" applyAlignment="1" applyProtection="1">
      <alignment horizontal="centerContinuous"/>
      <protection hidden="1"/>
    </xf>
    <xf numFmtId="0" fontId="5" fillId="0" borderId="11" xfId="0" applyFont="1" applyBorder="1" applyAlignment="1" applyProtection="1">
      <alignment horizontal="centerContinuous"/>
      <protection hidden="1"/>
    </xf>
    <xf numFmtId="0" fontId="5" fillId="0" borderId="12" xfId="0" applyFont="1" applyBorder="1" applyAlignment="1" applyProtection="1">
      <alignment horizontal="centerContinuous"/>
      <protection hidden="1"/>
    </xf>
    <xf numFmtId="0" fontId="5" fillId="0" borderId="13" xfId="0" applyFont="1" applyBorder="1" applyAlignment="1" applyProtection="1">
      <alignment horizontal="centerContinuous"/>
      <protection hidden="1"/>
    </xf>
    <xf numFmtId="0" fontId="5" fillId="0" borderId="14" xfId="0" applyFont="1" applyBorder="1" applyAlignment="1" applyProtection="1">
      <alignment horizontal="centerContinuous"/>
      <protection hidden="1"/>
    </xf>
    <xf numFmtId="175" fontId="5" fillId="0" borderId="11" xfId="0" applyNumberFormat="1" applyFont="1" applyBorder="1" applyAlignment="1" applyProtection="1">
      <alignment horizontal="centerContinuous"/>
      <protection hidden="1"/>
    </xf>
    <xf numFmtId="175" fontId="5" fillId="0" borderId="12" xfId="0" applyNumberFormat="1" applyFont="1" applyBorder="1" applyAlignment="1" applyProtection="1">
      <alignment horizontal="centerContinuous"/>
      <protection hidden="1"/>
    </xf>
    <xf numFmtId="175" fontId="5" fillId="0" borderId="14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/>
      <protection hidden="1"/>
    </xf>
    <xf numFmtId="0" fontId="12" fillId="0" borderId="4" xfId="0" applyFont="1" applyBorder="1" applyAlignment="1" applyProtection="1">
      <alignment horizontal="centerContinuous"/>
      <protection hidden="1"/>
    </xf>
    <xf numFmtId="0" fontId="12" fillId="0" borderId="5" xfId="0" applyFont="1" applyBorder="1" applyAlignment="1" applyProtection="1">
      <alignment horizontal="centerContinuous"/>
      <protection hidden="1"/>
    </xf>
    <xf numFmtId="0" fontId="12" fillId="0" borderId="6" xfId="0" applyFont="1" applyBorder="1" applyAlignment="1" applyProtection="1">
      <alignment horizontal="centerContinuous"/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179" fontId="14" fillId="4" borderId="5" xfId="0" applyNumberFormat="1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/>
      <protection hidden="1"/>
    </xf>
    <xf numFmtId="0" fontId="11" fillId="4" borderId="5" xfId="0" applyFont="1" applyFill="1" applyBorder="1" applyAlignment="1" applyProtection="1">
      <alignment horizontal="centerContinuous"/>
      <protection hidden="1"/>
    </xf>
    <xf numFmtId="0" fontId="5" fillId="4" borderId="5" xfId="0" applyFont="1" applyFill="1" applyBorder="1" applyAlignment="1" applyProtection="1">
      <alignment/>
      <protection hidden="1"/>
    </xf>
    <xf numFmtId="0" fontId="14" fillId="4" borderId="5" xfId="0" applyFont="1" applyFill="1" applyBorder="1" applyAlignment="1" applyProtection="1">
      <alignment horizontal="centerContinuous"/>
      <protection hidden="1"/>
    </xf>
    <xf numFmtId="0" fontId="12" fillId="4" borderId="5" xfId="0" applyFont="1" applyFill="1" applyBorder="1" applyAlignment="1" applyProtection="1">
      <alignment horizontal="centerContinuous"/>
      <protection hidden="1"/>
    </xf>
    <xf numFmtId="0" fontId="11" fillId="4" borderId="5" xfId="0" applyFont="1" applyFill="1" applyBorder="1" applyAlignment="1" applyProtection="1">
      <alignment/>
      <protection hidden="1"/>
    </xf>
    <xf numFmtId="0" fontId="14" fillId="4" borderId="5" xfId="0" applyFont="1" applyFill="1" applyBorder="1" applyAlignment="1" applyProtection="1">
      <alignment horizontal="center"/>
      <protection hidden="1"/>
    </xf>
    <xf numFmtId="182" fontId="15" fillId="4" borderId="6" xfId="0" applyNumberFormat="1" applyFont="1" applyFill="1" applyBorder="1" applyAlignment="1" applyProtection="1">
      <alignment horizontal="center"/>
      <protection hidden="1"/>
    </xf>
    <xf numFmtId="0" fontId="12" fillId="0" borderId="8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5" fillId="4" borderId="0" xfId="0" applyFont="1" applyFill="1" applyAlignment="1" applyProtection="1">
      <alignment/>
      <protection hidden="1"/>
    </xf>
    <xf numFmtId="0" fontId="12" fillId="4" borderId="0" xfId="0" applyFont="1" applyFill="1" applyAlignment="1" applyProtection="1">
      <alignment/>
      <protection hidden="1"/>
    </xf>
    <xf numFmtId="179" fontId="14" fillId="4" borderId="0" xfId="0" applyNumberFormat="1" applyFont="1" applyFill="1" applyAlignment="1" applyProtection="1">
      <alignment horizontal="center"/>
      <protection hidden="1"/>
    </xf>
    <xf numFmtId="179" fontId="10" fillId="4" borderId="0" xfId="0" applyNumberFormat="1" applyFont="1" applyFill="1" applyAlignment="1" applyProtection="1">
      <alignment horizontal="center"/>
      <protection hidden="1"/>
    </xf>
    <xf numFmtId="181" fontId="14" fillId="4" borderId="0" xfId="0" applyNumberFormat="1" applyFont="1" applyFill="1" applyAlignment="1" applyProtection="1">
      <alignment horizontal="center"/>
      <protection hidden="1"/>
    </xf>
    <xf numFmtId="0" fontId="12" fillId="4" borderId="9" xfId="0" applyFont="1" applyFill="1" applyBorder="1" applyAlignment="1" applyProtection="1">
      <alignment/>
      <protection hidden="1"/>
    </xf>
    <xf numFmtId="0" fontId="12" fillId="0" borderId="8" xfId="0" applyFont="1" applyBorder="1" applyAlignment="1" applyProtection="1">
      <alignment horizontal="centerContinuous"/>
      <protection hidden="1"/>
    </xf>
    <xf numFmtId="0" fontId="12" fillId="0" borderId="0" xfId="0" applyFont="1" applyBorder="1" applyAlignment="1" applyProtection="1">
      <alignment horizontal="centerContinuous"/>
      <protection hidden="1"/>
    </xf>
    <xf numFmtId="0" fontId="11" fillId="4" borderId="8" xfId="0" applyFont="1" applyFill="1" applyBorder="1" applyAlignment="1" applyProtection="1">
      <alignment horizontal="centerContinuous"/>
      <protection hidden="1"/>
    </xf>
    <xf numFmtId="0" fontId="11" fillId="4" borderId="0" xfId="0" applyFont="1" applyFill="1" applyAlignment="1" applyProtection="1">
      <alignment horizontal="centerContinuous"/>
      <protection hidden="1"/>
    </xf>
    <xf numFmtId="179" fontId="16" fillId="4" borderId="0" xfId="0" applyNumberFormat="1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/>
      <protection hidden="1"/>
    </xf>
    <xf numFmtId="182" fontId="14" fillId="4" borderId="0" xfId="0" applyNumberFormat="1" applyFont="1" applyFill="1" applyAlignment="1" applyProtection="1">
      <alignment horizontal="center"/>
      <protection hidden="1"/>
    </xf>
    <xf numFmtId="182" fontId="15" fillId="4" borderId="0" xfId="0" applyNumberFormat="1" applyFont="1" applyFill="1" applyAlignment="1" applyProtection="1">
      <alignment horizontal="center"/>
      <protection hidden="1"/>
    </xf>
    <xf numFmtId="0" fontId="14" fillId="4" borderId="9" xfId="0" applyFont="1" applyFill="1" applyBorder="1" applyAlignment="1" applyProtection="1">
      <alignment horizontal="center"/>
      <protection hidden="1"/>
    </xf>
    <xf numFmtId="0" fontId="14" fillId="4" borderId="0" xfId="0" applyFont="1" applyFill="1" applyAlignment="1" applyProtection="1">
      <alignment horizontal="center"/>
      <protection hidden="1"/>
    </xf>
    <xf numFmtId="0" fontId="15" fillId="4" borderId="0" xfId="0" applyFont="1" applyFill="1" applyAlignment="1" applyProtection="1">
      <alignment horizontal="center"/>
      <protection hidden="1"/>
    </xf>
    <xf numFmtId="183" fontId="14" fillId="4" borderId="0" xfId="0" applyNumberFormat="1" applyFont="1" applyFill="1" applyAlignment="1" applyProtection="1">
      <alignment horizontal="center"/>
      <protection hidden="1"/>
    </xf>
    <xf numFmtId="0" fontId="12" fillId="4" borderId="0" xfId="0" applyFont="1" applyFill="1" applyAlignment="1" applyProtection="1">
      <alignment horizontal="centerContinuous"/>
      <protection hidden="1"/>
    </xf>
    <xf numFmtId="0" fontId="12" fillId="0" borderId="11" xfId="0" applyFont="1" applyBorder="1" applyAlignment="1" applyProtection="1">
      <alignment horizontal="centerContinuous"/>
      <protection hidden="1"/>
    </xf>
    <xf numFmtId="0" fontId="12" fillId="0" borderId="12" xfId="0" applyFont="1" applyBorder="1" applyAlignment="1" applyProtection="1">
      <alignment horizontal="centerContinuous"/>
      <protection hidden="1"/>
    </xf>
    <xf numFmtId="0" fontId="5" fillId="4" borderId="11" xfId="0" applyFont="1" applyFill="1" applyBorder="1" applyAlignment="1" applyProtection="1">
      <alignment/>
      <protection hidden="1"/>
    </xf>
    <xf numFmtId="0" fontId="5" fillId="4" borderId="12" xfId="0" applyFont="1" applyFill="1" applyBorder="1" applyAlignment="1" applyProtection="1">
      <alignment/>
      <protection hidden="1"/>
    </xf>
    <xf numFmtId="0" fontId="11" fillId="4" borderId="12" xfId="0" applyFont="1" applyFill="1" applyBorder="1" applyAlignment="1" applyProtection="1">
      <alignment/>
      <protection hidden="1"/>
    </xf>
    <xf numFmtId="0" fontId="14" fillId="4" borderId="12" xfId="0" applyFont="1" applyFill="1" applyBorder="1" applyAlignment="1" applyProtection="1">
      <alignment horizontal="center"/>
      <protection hidden="1"/>
    </xf>
    <xf numFmtId="0" fontId="5" fillId="4" borderId="14" xfId="0" applyFont="1" applyFill="1" applyBorder="1" applyAlignment="1" applyProtection="1">
      <alignment/>
      <protection hidden="1"/>
    </xf>
    <xf numFmtId="0" fontId="8" fillId="5" borderId="15" xfId="0" applyFont="1" applyFill="1" applyBorder="1" applyAlignment="1" applyProtection="1">
      <alignment horizontal="centerContinuous"/>
      <protection hidden="1"/>
    </xf>
    <xf numFmtId="0" fontId="7" fillId="0" borderId="3" xfId="0" applyFont="1" applyBorder="1" applyAlignment="1" applyProtection="1">
      <alignment horizontal="centerContinuous"/>
      <protection hidden="1"/>
    </xf>
    <xf numFmtId="0" fontId="7" fillId="0" borderId="1" xfId="0" applyFont="1" applyBorder="1" applyAlignment="1" applyProtection="1">
      <alignment horizontal="centerContinuous"/>
      <protection hidden="1"/>
    </xf>
    <xf numFmtId="0" fontId="7" fillId="0" borderId="2" xfId="0" applyFont="1" applyBorder="1" applyAlignment="1" applyProtection="1">
      <alignment horizontal="centerContinuous"/>
      <protection hidden="1"/>
    </xf>
    <xf numFmtId="0" fontId="5" fillId="0" borderId="1" xfId="0" applyFont="1" applyBorder="1" applyAlignment="1" applyProtection="1">
      <alignment/>
      <protection hidden="1"/>
    </xf>
    <xf numFmtId="0" fontId="11" fillId="0" borderId="15" xfId="0" applyFont="1" applyBorder="1" applyAlignment="1" applyProtection="1">
      <alignment/>
      <protection hidden="1"/>
    </xf>
    <xf numFmtId="176" fontId="5" fillId="0" borderId="4" xfId="0" applyNumberFormat="1" applyFont="1" applyBorder="1" applyAlignment="1" applyProtection="1">
      <alignment horizontal="centerContinuous"/>
      <protection hidden="1"/>
    </xf>
    <xf numFmtId="176" fontId="5" fillId="0" borderId="5" xfId="0" applyNumberFormat="1" applyFont="1" applyBorder="1" applyAlignment="1" applyProtection="1">
      <alignment horizontal="centerContinuous"/>
      <protection hidden="1"/>
    </xf>
    <xf numFmtId="176" fontId="5" fillId="0" borderId="6" xfId="0" applyNumberFormat="1" applyFont="1" applyBorder="1" applyAlignment="1" applyProtection="1">
      <alignment horizontal="centerContinuous"/>
      <protection hidden="1"/>
    </xf>
    <xf numFmtId="0" fontId="11" fillId="0" borderId="4" xfId="0" applyFont="1" applyBorder="1" applyAlignment="1" applyProtection="1">
      <alignment horizontal="centerContinuous"/>
      <protection hidden="1"/>
    </xf>
    <xf numFmtId="0" fontId="11" fillId="0" borderId="5" xfId="0" applyFont="1" applyBorder="1" applyAlignment="1" applyProtection="1">
      <alignment horizontal="centerContinuous"/>
      <protection hidden="1"/>
    </xf>
    <xf numFmtId="0" fontId="11" fillId="0" borderId="6" xfId="0" applyFont="1" applyBorder="1" applyAlignment="1" applyProtection="1">
      <alignment horizontal="centerContinuous"/>
      <protection hidden="1"/>
    </xf>
    <xf numFmtId="184" fontId="7" fillId="0" borderId="10" xfId="0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176" fontId="5" fillId="0" borderId="8" xfId="0" applyNumberFormat="1" applyFont="1" applyBorder="1" applyAlignment="1" applyProtection="1">
      <alignment horizontal="centerContinuous"/>
      <protection hidden="1"/>
    </xf>
    <xf numFmtId="176" fontId="5" fillId="0" borderId="0" xfId="0" applyNumberFormat="1" applyFont="1" applyBorder="1" applyAlignment="1" applyProtection="1">
      <alignment horizontal="centerContinuous"/>
      <protection hidden="1"/>
    </xf>
    <xf numFmtId="176" fontId="5" fillId="0" borderId="9" xfId="0" applyNumberFormat="1" applyFont="1" applyBorder="1" applyAlignment="1" applyProtection="1">
      <alignment horizontal="centerContinuous"/>
      <protection hidden="1"/>
    </xf>
    <xf numFmtId="0" fontId="11" fillId="0" borderId="8" xfId="0" applyFont="1" applyBorder="1" applyAlignment="1" applyProtection="1">
      <alignment horizontal="centerContinuous"/>
      <protection hidden="1"/>
    </xf>
    <xf numFmtId="0" fontId="11" fillId="0" borderId="0" xfId="0" applyFont="1" applyBorder="1" applyAlignment="1" applyProtection="1">
      <alignment horizontal="centerContinuous"/>
      <protection hidden="1"/>
    </xf>
    <xf numFmtId="0" fontId="11" fillId="0" borderId="9" xfId="0" applyFont="1" applyBorder="1" applyAlignment="1" applyProtection="1">
      <alignment horizontal="centerContinuous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176" fontId="5" fillId="0" borderId="12" xfId="0" applyNumberFormat="1" applyFont="1" applyBorder="1" applyAlignment="1" applyProtection="1">
      <alignment horizontal="centerContinuous"/>
      <protection hidden="1"/>
    </xf>
    <xf numFmtId="176" fontId="5" fillId="0" borderId="14" xfId="0" applyNumberFormat="1" applyFont="1" applyBorder="1" applyAlignment="1" applyProtection="1">
      <alignment horizontal="centerContinuous"/>
      <protection hidden="1"/>
    </xf>
    <xf numFmtId="0" fontId="11" fillId="0" borderId="11" xfId="0" applyFont="1" applyBorder="1" applyAlignment="1" applyProtection="1">
      <alignment horizontal="centerContinuous"/>
      <protection hidden="1"/>
    </xf>
    <xf numFmtId="0" fontId="11" fillId="0" borderId="12" xfId="0" applyFont="1" applyBorder="1" applyAlignment="1" applyProtection="1">
      <alignment horizontal="centerContinuous"/>
      <protection hidden="1"/>
    </xf>
    <xf numFmtId="0" fontId="11" fillId="0" borderId="14" xfId="0" applyFont="1" applyBorder="1" applyAlignment="1" applyProtection="1">
      <alignment horizontal="centerContinuous"/>
      <protection hidden="1"/>
    </xf>
    <xf numFmtId="184" fontId="7" fillId="0" borderId="13" xfId="0" applyNumberFormat="1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2" xfId="0" applyFont="1" applyBorder="1" applyAlignment="1" applyProtection="1">
      <alignment/>
      <protection hidden="1"/>
    </xf>
    <xf numFmtId="0" fontId="5" fillId="0" borderId="5" xfId="0" applyFont="1" applyBorder="1" applyAlignment="1" applyProtection="1">
      <alignment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/>
      <protection hidden="1"/>
    </xf>
    <xf numFmtId="0" fontId="5" fillId="0" borderId="9" xfId="0" applyFont="1" applyBorder="1" applyAlignment="1" applyProtection="1">
      <alignment/>
      <protection hidden="1"/>
    </xf>
    <xf numFmtId="0" fontId="12" fillId="0" borderId="3" xfId="0" applyFont="1" applyBorder="1" applyAlignment="1" applyProtection="1">
      <alignment horizontal="centerContinuous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3" fontId="12" fillId="0" borderId="8" xfId="0" applyNumberFormat="1" applyFont="1" applyBorder="1" applyAlignment="1" applyProtection="1">
      <alignment horizontal="centerContinuous"/>
      <protection hidden="1"/>
    </xf>
    <xf numFmtId="0" fontId="12" fillId="0" borderId="9" xfId="0" applyFont="1" applyBorder="1" applyAlignment="1" applyProtection="1">
      <alignment horizontal="centerContinuous"/>
      <protection hidden="1"/>
    </xf>
    <xf numFmtId="0" fontId="6" fillId="0" borderId="6" xfId="0" applyFont="1" applyFill="1" applyBorder="1" applyAlignment="1" applyProtection="1">
      <alignment horizontal="centerContinuous"/>
      <protection hidden="1"/>
    </xf>
    <xf numFmtId="3" fontId="12" fillId="0" borderId="9" xfId="0" applyNumberFormat="1" applyFont="1" applyBorder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3" fillId="0" borderId="0" xfId="0" applyFont="1" applyBorder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Continuous"/>
      <protection hidden="1"/>
    </xf>
    <xf numFmtId="0" fontId="20" fillId="0" borderId="0" xfId="0" applyFont="1" applyAlignment="1" applyProtection="1">
      <alignment horizontal="center"/>
      <protection hidden="1"/>
    </xf>
    <xf numFmtId="177" fontId="3" fillId="0" borderId="0" xfId="0" applyNumberFormat="1" applyFont="1" applyAlignment="1" applyProtection="1">
      <alignment horizontal="center"/>
      <protection hidden="1"/>
    </xf>
    <xf numFmtId="186" fontId="6" fillId="0" borderId="3" xfId="0" applyNumberFormat="1" applyFont="1" applyBorder="1" applyAlignment="1" applyProtection="1">
      <alignment horizontal="centerContinuous"/>
      <protection hidden="1"/>
    </xf>
    <xf numFmtId="0" fontId="6" fillId="0" borderId="1" xfId="0" applyFont="1" applyBorder="1" applyAlignment="1" applyProtection="1">
      <alignment horizontal="centerContinuous"/>
      <protection hidden="1"/>
    </xf>
    <xf numFmtId="188" fontId="6" fillId="0" borderId="7" xfId="0" applyNumberFormat="1" applyFont="1" applyFill="1" applyBorder="1" applyAlignment="1" applyProtection="1">
      <alignment horizontal="centerContinuous"/>
      <protection hidden="1"/>
    </xf>
    <xf numFmtId="3" fontId="11" fillId="0" borderId="8" xfId="0" applyNumberFormat="1" applyFont="1" applyBorder="1" applyAlignment="1" applyProtection="1">
      <alignment horizontal="centerContinuous"/>
      <protection hidden="1"/>
    </xf>
    <xf numFmtId="189" fontId="5" fillId="0" borderId="10" xfId="0" applyNumberFormat="1" applyFont="1" applyBorder="1" applyAlignment="1" applyProtection="1">
      <alignment horizontal="center"/>
      <protection hidden="1"/>
    </xf>
    <xf numFmtId="189" fontId="5" fillId="0" borderId="13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85" fontId="12" fillId="0" borderId="7" xfId="0" applyNumberFormat="1" applyFont="1" applyBorder="1" applyAlignment="1" applyProtection="1">
      <alignment horizontal="center"/>
      <protection hidden="1"/>
    </xf>
    <xf numFmtId="190" fontId="7" fillId="0" borderId="13" xfId="0" applyNumberFormat="1" applyFont="1" applyBorder="1" applyAlignment="1" applyProtection="1">
      <alignment horizontal="center"/>
      <protection hidden="1"/>
    </xf>
    <xf numFmtId="190" fontId="7" fillId="0" borderId="15" xfId="0" applyNumberFormat="1" applyFont="1" applyBorder="1" applyAlignment="1" applyProtection="1">
      <alignment horizontal="center"/>
      <protection hidden="1"/>
    </xf>
    <xf numFmtId="190" fontId="7" fillId="0" borderId="2" xfId="0" applyNumberFormat="1" applyFont="1" applyBorder="1" applyAlignment="1" applyProtection="1">
      <alignment horizontal="center"/>
      <protection hidden="1"/>
    </xf>
    <xf numFmtId="190" fontId="7" fillId="0" borderId="14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87" fontId="7" fillId="0" borderId="0" xfId="0" applyNumberFormat="1" applyFont="1" applyBorder="1" applyAlignment="1" applyProtection="1">
      <alignment horizontal="center"/>
      <protection hidden="1"/>
    </xf>
    <xf numFmtId="187" fontId="5" fillId="0" borderId="0" xfId="0" applyNumberFormat="1" applyFont="1" applyBorder="1" applyAlignment="1" applyProtection="1">
      <alignment horizontal="center"/>
      <protection hidden="1"/>
    </xf>
    <xf numFmtId="1" fontId="5" fillId="0" borderId="7" xfId="0" applyNumberFormat="1" applyFont="1" applyBorder="1" applyAlignment="1" applyProtection="1" quotePrefix="1">
      <alignment horizontal="center"/>
      <protection hidden="1"/>
    </xf>
    <xf numFmtId="0" fontId="5" fillId="0" borderId="10" xfId="0" applyNumberFormat="1" applyFont="1" applyBorder="1" applyAlignment="1" applyProtection="1">
      <alignment horizontal="center"/>
      <protection hidden="1"/>
    </xf>
    <xf numFmtId="1" fontId="5" fillId="0" borderId="13" xfId="0" applyNumberFormat="1" applyFont="1" applyBorder="1" applyAlignment="1" applyProtection="1" quotePrefix="1">
      <alignment horizontal="center"/>
      <protection hidden="1"/>
    </xf>
    <xf numFmtId="0" fontId="28" fillId="2" borderId="0" xfId="0" applyFont="1" applyFill="1" applyAlignment="1" applyProtection="1">
      <alignment horizontal="center"/>
      <protection hidden="1" locked="0"/>
    </xf>
    <xf numFmtId="0" fontId="6" fillId="0" borderId="4" xfId="0" applyFont="1" applyBorder="1" applyAlignment="1" applyProtection="1">
      <alignment horizontal="center"/>
      <protection hidden="1"/>
    </xf>
    <xf numFmtId="176" fontId="30" fillId="0" borderId="6" xfId="0" applyNumberFormat="1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Continuous"/>
      <protection hidden="1"/>
    </xf>
    <xf numFmtId="0" fontId="6" fillId="0" borderId="9" xfId="0" applyFont="1" applyBorder="1" applyAlignment="1" applyProtection="1">
      <alignment horizontal="centerContinuous"/>
      <protection hidden="1"/>
    </xf>
    <xf numFmtId="0" fontId="6" fillId="0" borderId="11" xfId="0" applyFont="1" applyBorder="1" applyAlignment="1" applyProtection="1">
      <alignment horizontal="centerContinuous"/>
      <protection hidden="1"/>
    </xf>
    <xf numFmtId="0" fontId="6" fillId="0" borderId="14" xfId="0" applyFont="1" applyBorder="1" applyAlignment="1" applyProtection="1">
      <alignment horizontal="centerContinuous"/>
      <protection hidden="1"/>
    </xf>
    <xf numFmtId="187" fontId="6" fillId="0" borderId="6" xfId="0" applyNumberFormat="1" applyFont="1" applyBorder="1" applyAlignment="1" applyProtection="1">
      <alignment horizontal="center"/>
      <protection hidden="1"/>
    </xf>
    <xf numFmtId="187" fontId="6" fillId="0" borderId="9" xfId="0" applyNumberFormat="1" applyFont="1" applyBorder="1" applyAlignment="1" applyProtection="1">
      <alignment horizontal="center"/>
      <protection hidden="1"/>
    </xf>
    <xf numFmtId="187" fontId="6" fillId="0" borderId="14" xfId="0" applyNumberFormat="1" applyFont="1" applyBorder="1" applyAlignment="1" applyProtection="1">
      <alignment horizontal="center"/>
      <protection hidden="1"/>
    </xf>
    <xf numFmtId="184" fontId="5" fillId="0" borderId="0" xfId="0" applyNumberFormat="1" applyFont="1" applyAlignment="1" applyProtection="1">
      <alignment horizontal="center"/>
      <protection hidden="1"/>
    </xf>
    <xf numFmtId="184" fontId="7" fillId="0" borderId="0" xfId="0" applyNumberFormat="1" applyFont="1" applyBorder="1" applyAlignment="1" applyProtection="1">
      <alignment horizontal="center"/>
      <protection hidden="1"/>
    </xf>
    <xf numFmtId="184" fontId="7" fillId="0" borderId="6" xfId="0" applyNumberFormat="1" applyFont="1" applyBorder="1" applyAlignment="1" applyProtection="1">
      <alignment horizontal="center"/>
      <protection hidden="1"/>
    </xf>
    <xf numFmtId="184" fontId="7" fillId="0" borderId="14" xfId="0" applyNumberFormat="1" applyFont="1" applyBorder="1" applyAlignment="1" applyProtection="1">
      <alignment horizontal="center"/>
      <protection hidden="1"/>
    </xf>
    <xf numFmtId="0" fontId="12" fillId="0" borderId="10" xfId="0" applyFont="1" applyBorder="1" applyAlignment="1" applyProtection="1">
      <alignment horizontal="center"/>
      <protection hidden="1"/>
    </xf>
    <xf numFmtId="0" fontId="12" fillId="0" borderId="13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7" fillId="3" borderId="0" xfId="0" applyFont="1" applyFill="1" applyAlignment="1" applyProtection="1">
      <alignment horizontal="center"/>
      <protection hidden="1" locked="0"/>
    </xf>
    <xf numFmtId="0" fontId="1" fillId="2" borderId="0" xfId="0" applyFont="1" applyFill="1" applyAlignment="1" applyProtection="1">
      <alignment horizontal="center"/>
      <protection hidden="1" locked="0"/>
    </xf>
    <xf numFmtId="0" fontId="29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/>
      <protection hidden="1" locked="0"/>
    </xf>
    <xf numFmtId="174" fontId="13" fillId="0" borderId="0" xfId="0" applyNumberFormat="1" applyFont="1" applyAlignment="1" applyProtection="1">
      <alignment horizontal="center"/>
      <protection hidden="1" locked="0"/>
    </xf>
    <xf numFmtId="0" fontId="13" fillId="0" borderId="0" xfId="0" applyFont="1" applyAlignment="1" applyProtection="1">
      <alignment/>
      <protection hidden="1" locked="0"/>
    </xf>
    <xf numFmtId="0" fontId="13" fillId="0" borderId="0" xfId="0" applyFont="1" applyAlignment="1" applyProtection="1">
      <alignment horizontal="center"/>
      <protection hidden="1" locked="0"/>
    </xf>
    <xf numFmtId="0" fontId="31" fillId="0" borderId="0" xfId="0" applyFont="1" applyAlignment="1" applyProtection="1">
      <alignment horizontal="centerContinuous"/>
      <protection hidden="1"/>
    </xf>
    <xf numFmtId="0" fontId="31" fillId="0" borderId="0" xfId="0" applyFont="1" applyAlignment="1" applyProtection="1">
      <alignment horizontal="center"/>
      <protection hidden="1"/>
    </xf>
    <xf numFmtId="184" fontId="12" fillId="0" borderId="4" xfId="0" applyNumberFormat="1" applyFont="1" applyBorder="1" applyAlignment="1" applyProtection="1">
      <alignment horizontal="center"/>
      <protection hidden="1"/>
    </xf>
    <xf numFmtId="184" fontId="12" fillId="0" borderId="8" xfId="0" applyNumberFormat="1" applyFont="1" applyBorder="1" applyAlignment="1" applyProtection="1">
      <alignment horizontal="center"/>
      <protection hidden="1"/>
    </xf>
    <xf numFmtId="184" fontId="12" fillId="0" borderId="11" xfId="0" applyNumberFormat="1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Continuous"/>
      <protection hidden="1"/>
    </xf>
    <xf numFmtId="0" fontId="0" fillId="0" borderId="1" xfId="0" applyBorder="1" applyAlignment="1" applyProtection="1">
      <alignment horizontal="centerContinuous"/>
      <protection hidden="1"/>
    </xf>
    <xf numFmtId="187" fontId="26" fillId="0" borderId="1" xfId="0" applyNumberFormat="1" applyFont="1" applyBorder="1" applyAlignment="1" applyProtection="1">
      <alignment horizontal="center"/>
      <protection hidden="1"/>
    </xf>
    <xf numFmtId="0" fontId="10" fillId="0" borderId="5" xfId="0" applyFont="1" applyBorder="1" applyAlignment="1" applyProtection="1">
      <alignment horizontal="centerContinuous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/>
      <protection hidden="1"/>
    </xf>
    <xf numFmtId="1" fontId="9" fillId="0" borderId="12" xfId="0" applyNumberFormat="1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/>
      <protection hidden="1" locked="0"/>
    </xf>
    <xf numFmtId="0" fontId="1" fillId="3" borderId="10" xfId="0" applyFont="1" applyFill="1" applyBorder="1" applyAlignment="1" applyProtection="1">
      <alignment horizontal="center"/>
      <protection hidden="1" locked="0"/>
    </xf>
    <xf numFmtId="0" fontId="1" fillId="3" borderId="13" xfId="0" applyFont="1" applyFill="1" applyBorder="1" applyAlignment="1" applyProtection="1">
      <alignment horizontal="center"/>
      <protection hidden="1" locked="0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 locked="0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3" borderId="12" xfId="0" applyFont="1" applyFill="1" applyBorder="1" applyAlignment="1" applyProtection="1">
      <alignment horizontal="center"/>
      <protection hidden="1" locked="0"/>
    </xf>
    <xf numFmtId="0" fontId="1" fillId="0" borderId="14" xfId="0" applyFont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32" fillId="0" borderId="4" xfId="0" applyFont="1" applyBorder="1" applyAlignment="1" applyProtection="1">
      <alignment horizontal="center"/>
      <protection hidden="1" locked="0"/>
    </xf>
    <xf numFmtId="0" fontId="33" fillId="0" borderId="6" xfId="0" applyFont="1" applyBorder="1" applyAlignment="1" applyProtection="1">
      <alignment horizontal="center"/>
      <protection hidden="1" locked="0"/>
    </xf>
    <xf numFmtId="0" fontId="33" fillId="0" borderId="8" xfId="0" applyFont="1" applyBorder="1" applyAlignment="1" applyProtection="1">
      <alignment horizontal="center"/>
      <protection hidden="1" locked="0"/>
    </xf>
    <xf numFmtId="0" fontId="33" fillId="0" borderId="9" xfId="0" applyFont="1" applyBorder="1" applyAlignment="1" applyProtection="1">
      <alignment horizontal="center"/>
      <protection hidden="1" locked="0"/>
    </xf>
    <xf numFmtId="0" fontId="33" fillId="0" borderId="11" xfId="0" applyFont="1" applyBorder="1" applyAlignment="1" applyProtection="1">
      <alignment horizontal="center"/>
      <protection hidden="1" locked="0"/>
    </xf>
    <xf numFmtId="0" fontId="33" fillId="0" borderId="14" xfId="0" applyFont="1" applyBorder="1" applyAlignment="1" applyProtection="1">
      <alignment horizontal="center"/>
      <protection hidden="1" locked="0"/>
    </xf>
    <xf numFmtId="0" fontId="31" fillId="0" borderId="0" xfId="0" applyFont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3" fontId="1" fillId="3" borderId="11" xfId="0" applyNumberFormat="1" applyFont="1" applyFill="1" applyBorder="1" applyAlignment="1" applyProtection="1">
      <alignment horizontal="center"/>
      <protection hidden="1" locked="0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Continuous"/>
      <protection hidden="1"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/>
    </xf>
    <xf numFmtId="174" fontId="1" fillId="0" borderId="0" xfId="0" applyNumberFormat="1" applyFont="1" applyAlignment="1" applyProtection="1">
      <alignment horizontal="center"/>
      <protection hidden="1" locked="0"/>
    </xf>
    <xf numFmtId="0" fontId="34" fillId="0" borderId="0" xfId="0" applyFont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 locked="0"/>
    </xf>
    <xf numFmtId="194" fontId="7" fillId="0" borderId="4" xfId="0" applyNumberFormat="1" applyFont="1" applyBorder="1" applyAlignment="1" applyProtection="1">
      <alignment horizontal="center"/>
      <protection hidden="1"/>
    </xf>
    <xf numFmtId="194" fontId="7" fillId="0" borderId="8" xfId="0" applyNumberFormat="1" applyFont="1" applyBorder="1" applyAlignment="1" applyProtection="1">
      <alignment horizontal="center"/>
      <protection hidden="1"/>
    </xf>
    <xf numFmtId="194" fontId="7" fillId="0" borderId="11" xfId="0" applyNumberFormat="1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3" fontId="1" fillId="3" borderId="14" xfId="0" applyNumberFormat="1" applyFont="1" applyFill="1" applyBorder="1" applyAlignment="1" applyProtection="1">
      <alignment horizontal="center"/>
      <protection hidden="1" locked="0"/>
    </xf>
    <xf numFmtId="0" fontId="12" fillId="0" borderId="4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190" fontId="25" fillId="0" borderId="4" xfId="0" applyNumberFormat="1" applyFont="1" applyBorder="1" applyAlignment="1" applyProtection="1">
      <alignment horizontal="center"/>
      <protection hidden="1"/>
    </xf>
    <xf numFmtId="190" fontId="25" fillId="0" borderId="5" xfId="0" applyNumberFormat="1" applyFont="1" applyBorder="1" applyAlignment="1" applyProtection="1">
      <alignment horizontal="center"/>
      <protection hidden="1"/>
    </xf>
    <xf numFmtId="184" fontId="38" fillId="0" borderId="9" xfId="0" applyNumberFormat="1" applyFont="1" applyBorder="1" applyAlignment="1" applyProtection="1">
      <alignment horizontal="center"/>
      <protection hidden="1"/>
    </xf>
    <xf numFmtId="184" fontId="38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/>
      <protection hidden="1" locked="0"/>
    </xf>
    <xf numFmtId="0" fontId="32" fillId="0" borderId="0" xfId="0" applyFont="1" applyAlignment="1" applyProtection="1">
      <alignment horizontal="center"/>
      <protection hidden="1" locked="0"/>
    </xf>
    <xf numFmtId="0" fontId="31" fillId="0" borderId="0" xfId="0" applyFont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 locked="0"/>
    </xf>
    <xf numFmtId="0" fontId="1" fillId="3" borderId="6" xfId="0" applyFont="1" applyFill="1" applyBorder="1" applyAlignment="1" applyProtection="1">
      <alignment horizontal="center"/>
      <protection hidden="1" locked="0"/>
    </xf>
    <xf numFmtId="0" fontId="1" fillId="3" borderId="8" xfId="0" applyFont="1" applyFill="1" applyBorder="1" applyAlignment="1" applyProtection="1">
      <alignment horizontal="center"/>
      <protection hidden="1" locked="0"/>
    </xf>
    <xf numFmtId="0" fontId="1" fillId="3" borderId="9" xfId="0" applyFont="1" applyFill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3" fillId="0" borderId="3" xfId="0" applyFont="1" applyBorder="1" applyAlignment="1" applyProtection="1">
      <alignment horizontal="center"/>
      <protection hidden="1"/>
    </xf>
    <xf numFmtId="0" fontId="23" fillId="0" borderId="2" xfId="0" applyFont="1" applyBorder="1" applyAlignment="1" applyProtection="1">
      <alignment horizontal="center"/>
      <protection hidden="1"/>
    </xf>
    <xf numFmtId="190" fontId="25" fillId="0" borderId="8" xfId="0" applyNumberFormat="1" applyFont="1" applyBorder="1" applyAlignment="1" applyProtection="1">
      <alignment horizontal="center"/>
      <protection hidden="1"/>
    </xf>
    <xf numFmtId="190" fontId="25" fillId="0" borderId="0" xfId="0" applyNumberFormat="1" applyFont="1" applyBorder="1" applyAlignment="1" applyProtection="1">
      <alignment horizontal="center"/>
      <protection hidden="1"/>
    </xf>
    <xf numFmtId="190" fontId="25" fillId="0" borderId="11" xfId="0" applyNumberFormat="1" applyFont="1" applyBorder="1" applyAlignment="1" applyProtection="1">
      <alignment horizontal="center"/>
      <protection hidden="1"/>
    </xf>
    <xf numFmtId="190" fontId="25" fillId="0" borderId="12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 quotePrefix="1">
      <alignment horizontal="center"/>
      <protection hidden="1"/>
    </xf>
    <xf numFmtId="1" fontId="5" fillId="0" borderId="14" xfId="0" applyNumberFormat="1" applyFont="1" applyBorder="1" applyAlignment="1" applyProtection="1" quotePrefix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3" fontId="12" fillId="0" borderId="0" xfId="0" applyNumberFormat="1" applyFont="1" applyBorder="1" applyAlignment="1" applyProtection="1">
      <alignment horizontal="centerContinuous"/>
      <protection hidden="1"/>
    </xf>
    <xf numFmtId="1" fontId="5" fillId="0" borderId="0" xfId="0" applyNumberFormat="1" applyFont="1" applyBorder="1" applyAlignment="1" applyProtection="1" quotePrefix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/>
      <protection hidden="1"/>
    </xf>
    <xf numFmtId="0" fontId="12" fillId="0" borderId="5" xfId="0" applyFont="1" applyBorder="1" applyAlignment="1" applyProtection="1">
      <alignment/>
      <protection hidden="1"/>
    </xf>
    <xf numFmtId="0" fontId="12" fillId="0" borderId="6" xfId="0" applyFont="1" applyBorder="1" applyAlignment="1" applyProtection="1">
      <alignment/>
      <protection hidden="1"/>
    </xf>
    <xf numFmtId="0" fontId="12" fillId="0" borderId="9" xfId="0" applyFont="1" applyBorder="1" applyAlignment="1" applyProtection="1">
      <alignment/>
      <protection hidden="1"/>
    </xf>
    <xf numFmtId="0" fontId="12" fillId="0" borderId="11" xfId="0" applyFont="1" applyBorder="1" applyAlignment="1" applyProtection="1">
      <alignment/>
      <protection hidden="1"/>
    </xf>
    <xf numFmtId="0" fontId="12" fillId="0" borderId="12" xfId="0" applyFont="1" applyBorder="1" applyAlignment="1" applyProtection="1">
      <alignment/>
      <protection hidden="1"/>
    </xf>
    <xf numFmtId="0" fontId="12" fillId="0" borderId="14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16" fontId="21" fillId="0" borderId="0" xfId="0" applyNumberFormat="1" applyFont="1" applyAlignment="1" applyProtection="1" quotePrefix="1">
      <alignment/>
      <protection hidden="1"/>
    </xf>
    <xf numFmtId="0" fontId="21" fillId="0" borderId="0" xfId="0" applyFont="1" applyAlignment="1" applyProtection="1" quotePrefix="1">
      <alignment/>
      <protection hidden="1"/>
    </xf>
    <xf numFmtId="0" fontId="21" fillId="0" borderId="0" xfId="0" applyFont="1" applyAlignment="1" applyProtection="1" quotePrefix="1">
      <alignment horizontal="center"/>
      <protection hidden="1"/>
    </xf>
    <xf numFmtId="17" fontId="21" fillId="0" borderId="0" xfId="0" applyNumberFormat="1" applyFont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9.emf" /><Relationship Id="rId2" Type="http://schemas.openxmlformats.org/officeDocument/2006/relationships/image" Target="../media/image31.emf" /><Relationship Id="rId3" Type="http://schemas.openxmlformats.org/officeDocument/2006/relationships/image" Target="../media/image75.emf" /><Relationship Id="rId4" Type="http://schemas.openxmlformats.org/officeDocument/2006/relationships/image" Target="../media/image24.emf" /><Relationship Id="rId5" Type="http://schemas.openxmlformats.org/officeDocument/2006/relationships/image" Target="../media/image69.emf" /><Relationship Id="rId6" Type="http://schemas.openxmlformats.org/officeDocument/2006/relationships/image" Target="../media/image60.emf" /><Relationship Id="rId7" Type="http://schemas.openxmlformats.org/officeDocument/2006/relationships/image" Target="../media/image67.emf" /><Relationship Id="rId8" Type="http://schemas.openxmlformats.org/officeDocument/2006/relationships/image" Target="../media/image43.emf" /><Relationship Id="rId9" Type="http://schemas.openxmlformats.org/officeDocument/2006/relationships/image" Target="../media/image16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6.emf" /><Relationship Id="rId13" Type="http://schemas.openxmlformats.org/officeDocument/2006/relationships/image" Target="../media/image51.emf" /><Relationship Id="rId14" Type="http://schemas.openxmlformats.org/officeDocument/2006/relationships/image" Target="../media/image52.emf" /><Relationship Id="rId15" Type="http://schemas.openxmlformats.org/officeDocument/2006/relationships/image" Target="../media/image3.emf" /><Relationship Id="rId16" Type="http://schemas.openxmlformats.org/officeDocument/2006/relationships/image" Target="../media/image34.emf" /><Relationship Id="rId17" Type="http://schemas.openxmlformats.org/officeDocument/2006/relationships/image" Target="../media/image55.emf" /><Relationship Id="rId18" Type="http://schemas.openxmlformats.org/officeDocument/2006/relationships/image" Target="../media/image11.emf" /><Relationship Id="rId19" Type="http://schemas.openxmlformats.org/officeDocument/2006/relationships/image" Target="../media/image10.emf" /><Relationship Id="rId20" Type="http://schemas.openxmlformats.org/officeDocument/2006/relationships/image" Target="../media/image13.emf" /><Relationship Id="rId21" Type="http://schemas.openxmlformats.org/officeDocument/2006/relationships/image" Target="../media/image71.emf" /><Relationship Id="rId22" Type="http://schemas.openxmlformats.org/officeDocument/2006/relationships/image" Target="../media/image48.emf" /><Relationship Id="rId23" Type="http://schemas.openxmlformats.org/officeDocument/2006/relationships/image" Target="../media/image49.emf" /><Relationship Id="rId24" Type="http://schemas.openxmlformats.org/officeDocument/2006/relationships/image" Target="../media/image50.emf" /><Relationship Id="rId25" Type="http://schemas.openxmlformats.org/officeDocument/2006/relationships/image" Target="../media/image19.emf" /><Relationship Id="rId26" Type="http://schemas.openxmlformats.org/officeDocument/2006/relationships/image" Target="../media/image57.emf" /><Relationship Id="rId27" Type="http://schemas.openxmlformats.org/officeDocument/2006/relationships/image" Target="../media/image20.emf" /><Relationship Id="rId28" Type="http://schemas.openxmlformats.org/officeDocument/2006/relationships/image" Target="../media/image53.emf" /><Relationship Id="rId29" Type="http://schemas.openxmlformats.org/officeDocument/2006/relationships/image" Target="../media/image54.emf" /><Relationship Id="rId30" Type="http://schemas.openxmlformats.org/officeDocument/2006/relationships/image" Target="../media/image72.emf" /><Relationship Id="rId31" Type="http://schemas.openxmlformats.org/officeDocument/2006/relationships/image" Target="../media/image56.emf" /><Relationship Id="rId32" Type="http://schemas.openxmlformats.org/officeDocument/2006/relationships/image" Target="../media/image38.emf" /><Relationship Id="rId33" Type="http://schemas.openxmlformats.org/officeDocument/2006/relationships/image" Target="../media/image62.emf" /><Relationship Id="rId34" Type="http://schemas.openxmlformats.org/officeDocument/2006/relationships/image" Target="../media/image21.emf" /><Relationship Id="rId35" Type="http://schemas.openxmlformats.org/officeDocument/2006/relationships/image" Target="../media/image39.emf" /><Relationship Id="rId36" Type="http://schemas.openxmlformats.org/officeDocument/2006/relationships/image" Target="../media/image58.emf" /><Relationship Id="rId37" Type="http://schemas.openxmlformats.org/officeDocument/2006/relationships/image" Target="../media/image42.emf" /><Relationship Id="rId38" Type="http://schemas.openxmlformats.org/officeDocument/2006/relationships/image" Target="../media/image33.emf" /><Relationship Id="rId39" Type="http://schemas.openxmlformats.org/officeDocument/2006/relationships/image" Target="../media/image30.emf" /><Relationship Id="rId40" Type="http://schemas.openxmlformats.org/officeDocument/2006/relationships/image" Target="../media/image68.emf" /><Relationship Id="rId41" Type="http://schemas.openxmlformats.org/officeDocument/2006/relationships/image" Target="../media/image4.emf" /><Relationship Id="rId42" Type="http://schemas.openxmlformats.org/officeDocument/2006/relationships/image" Target="../media/image14.emf" /><Relationship Id="rId43" Type="http://schemas.openxmlformats.org/officeDocument/2006/relationships/image" Target="../media/image70.emf" /><Relationship Id="rId44" Type="http://schemas.openxmlformats.org/officeDocument/2006/relationships/image" Target="../media/image37.emf" /><Relationship Id="rId45" Type="http://schemas.openxmlformats.org/officeDocument/2006/relationships/image" Target="../media/image15.emf" /><Relationship Id="rId46" Type="http://schemas.openxmlformats.org/officeDocument/2006/relationships/image" Target="../media/image29.emf" /><Relationship Id="rId47" Type="http://schemas.openxmlformats.org/officeDocument/2006/relationships/image" Target="../media/image25.emf" /><Relationship Id="rId48" Type="http://schemas.openxmlformats.org/officeDocument/2006/relationships/image" Target="../media/image12.emf" /><Relationship Id="rId49" Type="http://schemas.openxmlformats.org/officeDocument/2006/relationships/image" Target="../media/image23.emf" /><Relationship Id="rId50" Type="http://schemas.openxmlformats.org/officeDocument/2006/relationships/image" Target="../media/image35.emf" /><Relationship Id="rId51" Type="http://schemas.openxmlformats.org/officeDocument/2006/relationships/image" Target="../media/image32.emf" /><Relationship Id="rId52" Type="http://schemas.openxmlformats.org/officeDocument/2006/relationships/image" Target="../media/image9.emf" /><Relationship Id="rId53" Type="http://schemas.openxmlformats.org/officeDocument/2006/relationships/image" Target="../media/image17.emf" /><Relationship Id="rId54" Type="http://schemas.openxmlformats.org/officeDocument/2006/relationships/image" Target="../media/image2.emf" /><Relationship Id="rId55" Type="http://schemas.openxmlformats.org/officeDocument/2006/relationships/image" Target="../media/image18.emf" /><Relationship Id="rId56" Type="http://schemas.openxmlformats.org/officeDocument/2006/relationships/image" Target="../media/image41.emf" /><Relationship Id="rId57" Type="http://schemas.openxmlformats.org/officeDocument/2006/relationships/image" Target="../media/image26.emf" /><Relationship Id="rId58" Type="http://schemas.openxmlformats.org/officeDocument/2006/relationships/image" Target="../media/image47.emf" /><Relationship Id="rId59" Type="http://schemas.openxmlformats.org/officeDocument/2006/relationships/image" Target="../media/image27.emf" /><Relationship Id="rId60" Type="http://schemas.openxmlformats.org/officeDocument/2006/relationships/image" Target="../media/image73.emf" /><Relationship Id="rId61" Type="http://schemas.openxmlformats.org/officeDocument/2006/relationships/image" Target="../media/image1.emf" /><Relationship Id="rId62" Type="http://schemas.openxmlformats.org/officeDocument/2006/relationships/image" Target="../media/image46.emf" /><Relationship Id="rId63" Type="http://schemas.openxmlformats.org/officeDocument/2006/relationships/image" Target="../media/image76.emf" /><Relationship Id="rId64" Type="http://schemas.openxmlformats.org/officeDocument/2006/relationships/image" Target="../media/image36.emf" /><Relationship Id="rId65" Type="http://schemas.openxmlformats.org/officeDocument/2006/relationships/image" Target="../media/image74.emf" /><Relationship Id="rId66" Type="http://schemas.openxmlformats.org/officeDocument/2006/relationships/image" Target="../media/image63.emf" /><Relationship Id="rId67" Type="http://schemas.openxmlformats.org/officeDocument/2006/relationships/image" Target="../media/image45.emf" /><Relationship Id="rId68" Type="http://schemas.openxmlformats.org/officeDocument/2006/relationships/image" Target="../media/image28.emf" /><Relationship Id="rId69" Type="http://schemas.openxmlformats.org/officeDocument/2006/relationships/image" Target="../media/image66.emf" /><Relationship Id="rId70" Type="http://schemas.openxmlformats.org/officeDocument/2006/relationships/image" Target="../media/image5.emf" /><Relationship Id="rId71" Type="http://schemas.openxmlformats.org/officeDocument/2006/relationships/image" Target="../media/image61.emf" /><Relationship Id="rId72" Type="http://schemas.openxmlformats.org/officeDocument/2006/relationships/image" Target="../media/image40.emf" /><Relationship Id="rId73" Type="http://schemas.openxmlformats.org/officeDocument/2006/relationships/image" Target="../media/image77.emf" /><Relationship Id="rId74" Type="http://schemas.openxmlformats.org/officeDocument/2006/relationships/image" Target="../media/image78.emf" /><Relationship Id="rId75" Type="http://schemas.openxmlformats.org/officeDocument/2006/relationships/image" Target="../media/image22.emf" /><Relationship Id="rId76" Type="http://schemas.openxmlformats.org/officeDocument/2006/relationships/image" Target="../media/image44.emf" /><Relationship Id="rId77" Type="http://schemas.openxmlformats.org/officeDocument/2006/relationships/image" Target="../media/image65.emf" /><Relationship Id="rId78" Type="http://schemas.openxmlformats.org/officeDocument/2006/relationships/image" Target="../media/image64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60</xdr:row>
      <xdr:rowOff>28575</xdr:rowOff>
    </xdr:from>
    <xdr:to>
      <xdr:col>3</xdr:col>
      <xdr:colOff>885825</xdr:colOff>
      <xdr:row>65</xdr:row>
      <xdr:rowOff>0</xdr:rowOff>
    </xdr:to>
    <xdr:grpSp>
      <xdr:nvGrpSpPr>
        <xdr:cNvPr id="1" name="Group 45"/>
        <xdr:cNvGrpSpPr>
          <a:grpSpLocks/>
        </xdr:cNvGrpSpPr>
      </xdr:nvGrpSpPr>
      <xdr:grpSpPr>
        <a:xfrm>
          <a:off x="2686050" y="11191875"/>
          <a:ext cx="1733550" cy="1114425"/>
          <a:chOff x="110" y="1297"/>
          <a:chExt cx="190" cy="117"/>
        </a:xfrm>
        <a:solidFill>
          <a:srgbClr val="FFFFFF"/>
        </a:solidFill>
      </xdr:grpSpPr>
    </xdr:grpSp>
    <xdr:clientData/>
  </xdr:twoCellAnchor>
  <xdr:twoCellAnchor editAs="oneCell">
    <xdr:from>
      <xdr:col>1</xdr:col>
      <xdr:colOff>9525</xdr:colOff>
      <xdr:row>99</xdr:row>
      <xdr:rowOff>295275</xdr:rowOff>
    </xdr:from>
    <xdr:to>
      <xdr:col>3</xdr:col>
      <xdr:colOff>19050</xdr:colOff>
      <xdr:row>101</xdr:row>
      <xdr:rowOff>28575</xdr:rowOff>
    </xdr:to>
    <xdr:pic>
      <xdr:nvPicPr>
        <xdr:cNvPr id="7" name="Text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0440650"/>
          <a:ext cx="2495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101</xdr:row>
      <xdr:rowOff>0</xdr:rowOff>
    </xdr:from>
    <xdr:to>
      <xdr:col>3</xdr:col>
      <xdr:colOff>19050</xdr:colOff>
      <xdr:row>102</xdr:row>
      <xdr:rowOff>9525</xdr:rowOff>
    </xdr:to>
    <xdr:pic>
      <xdr:nvPicPr>
        <xdr:cNvPr id="8" name="TextBox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20688300"/>
          <a:ext cx="2495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102</xdr:row>
      <xdr:rowOff>0</xdr:rowOff>
    </xdr:from>
    <xdr:to>
      <xdr:col>3</xdr:col>
      <xdr:colOff>19050</xdr:colOff>
      <xdr:row>103</xdr:row>
      <xdr:rowOff>9525</xdr:rowOff>
    </xdr:to>
    <xdr:pic>
      <xdr:nvPicPr>
        <xdr:cNvPr id="9" name="TextBox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20926425"/>
          <a:ext cx="2495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103</xdr:row>
      <xdr:rowOff>0</xdr:rowOff>
    </xdr:from>
    <xdr:to>
      <xdr:col>3</xdr:col>
      <xdr:colOff>19050</xdr:colOff>
      <xdr:row>104</xdr:row>
      <xdr:rowOff>9525</xdr:rowOff>
    </xdr:to>
    <xdr:pic>
      <xdr:nvPicPr>
        <xdr:cNvPr id="10" name="TextBo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21164550"/>
          <a:ext cx="2495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104</xdr:row>
      <xdr:rowOff>0</xdr:rowOff>
    </xdr:from>
    <xdr:to>
      <xdr:col>3</xdr:col>
      <xdr:colOff>19050</xdr:colOff>
      <xdr:row>105</xdr:row>
      <xdr:rowOff>9525</xdr:rowOff>
    </xdr:to>
    <xdr:pic>
      <xdr:nvPicPr>
        <xdr:cNvPr id="11" name="TextBo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21402675"/>
          <a:ext cx="2495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105</xdr:row>
      <xdr:rowOff>0</xdr:rowOff>
    </xdr:from>
    <xdr:to>
      <xdr:col>3</xdr:col>
      <xdr:colOff>19050</xdr:colOff>
      <xdr:row>106</xdr:row>
      <xdr:rowOff>9525</xdr:rowOff>
    </xdr:to>
    <xdr:pic>
      <xdr:nvPicPr>
        <xdr:cNvPr id="12" name="TextBo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21640800"/>
          <a:ext cx="2495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100</xdr:row>
      <xdr:rowOff>0</xdr:rowOff>
    </xdr:from>
    <xdr:to>
      <xdr:col>5</xdr:col>
      <xdr:colOff>1238250</xdr:colOff>
      <xdr:row>101</xdr:row>
      <xdr:rowOff>9525</xdr:rowOff>
    </xdr:to>
    <xdr:pic>
      <xdr:nvPicPr>
        <xdr:cNvPr id="13" name="TextBox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0450175"/>
          <a:ext cx="2495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101</xdr:row>
      <xdr:rowOff>0</xdr:rowOff>
    </xdr:from>
    <xdr:to>
      <xdr:col>5</xdr:col>
      <xdr:colOff>1238250</xdr:colOff>
      <xdr:row>102</xdr:row>
      <xdr:rowOff>9525</xdr:rowOff>
    </xdr:to>
    <xdr:pic>
      <xdr:nvPicPr>
        <xdr:cNvPr id="14" name="TextBox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0688300"/>
          <a:ext cx="2495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102</xdr:row>
      <xdr:rowOff>0</xdr:rowOff>
    </xdr:from>
    <xdr:to>
      <xdr:col>5</xdr:col>
      <xdr:colOff>1238250</xdr:colOff>
      <xdr:row>103</xdr:row>
      <xdr:rowOff>9525</xdr:rowOff>
    </xdr:to>
    <xdr:pic>
      <xdr:nvPicPr>
        <xdr:cNvPr id="15" name="TextBo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0926425"/>
          <a:ext cx="2495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103</xdr:row>
      <xdr:rowOff>0</xdr:rowOff>
    </xdr:from>
    <xdr:to>
      <xdr:col>5</xdr:col>
      <xdr:colOff>1238250</xdr:colOff>
      <xdr:row>104</xdr:row>
      <xdr:rowOff>9525</xdr:rowOff>
    </xdr:to>
    <xdr:pic>
      <xdr:nvPicPr>
        <xdr:cNvPr id="16" name="TextBo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1164550"/>
          <a:ext cx="2495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104</xdr:row>
      <xdr:rowOff>0</xdr:rowOff>
    </xdr:from>
    <xdr:to>
      <xdr:col>5</xdr:col>
      <xdr:colOff>1238250</xdr:colOff>
      <xdr:row>105</xdr:row>
      <xdr:rowOff>9525</xdr:rowOff>
    </xdr:to>
    <xdr:pic>
      <xdr:nvPicPr>
        <xdr:cNvPr id="17" name="TextBox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1402675"/>
          <a:ext cx="2495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105</xdr:row>
      <xdr:rowOff>0</xdr:rowOff>
    </xdr:from>
    <xdr:to>
      <xdr:col>5</xdr:col>
      <xdr:colOff>1238250</xdr:colOff>
      <xdr:row>106</xdr:row>
      <xdr:rowOff>9525</xdr:rowOff>
    </xdr:to>
    <xdr:pic>
      <xdr:nvPicPr>
        <xdr:cNvPr id="18" name="TextBo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21640800"/>
          <a:ext cx="2495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4</xdr:col>
      <xdr:colOff>0</xdr:colOff>
      <xdr:row>82</xdr:row>
      <xdr:rowOff>0</xdr:rowOff>
    </xdr:to>
    <xdr:pic>
      <xdr:nvPicPr>
        <xdr:cNvPr id="19" name="CheckBox1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43300" y="15773400"/>
          <a:ext cx="1276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82</xdr:row>
      <xdr:rowOff>9525</xdr:rowOff>
    </xdr:from>
    <xdr:to>
      <xdr:col>4</xdr:col>
      <xdr:colOff>9525</xdr:colOff>
      <xdr:row>83</xdr:row>
      <xdr:rowOff>0</xdr:rowOff>
    </xdr:to>
    <xdr:pic>
      <xdr:nvPicPr>
        <xdr:cNvPr id="20" name="CheckBox1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533775" y="16040100"/>
          <a:ext cx="1295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83</xdr:row>
      <xdr:rowOff>9525</xdr:rowOff>
    </xdr:from>
    <xdr:to>
      <xdr:col>4</xdr:col>
      <xdr:colOff>0</xdr:colOff>
      <xdr:row>84</xdr:row>
      <xdr:rowOff>0</xdr:rowOff>
    </xdr:to>
    <xdr:pic>
      <xdr:nvPicPr>
        <xdr:cNvPr id="21" name="CheckBox1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543300" y="16278225"/>
          <a:ext cx="1276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0</xdr:colOff>
      <xdr:row>84</xdr:row>
      <xdr:rowOff>9525</xdr:rowOff>
    </xdr:from>
    <xdr:to>
      <xdr:col>4</xdr:col>
      <xdr:colOff>9525</xdr:colOff>
      <xdr:row>85</xdr:row>
      <xdr:rowOff>0</xdr:rowOff>
    </xdr:to>
    <xdr:pic>
      <xdr:nvPicPr>
        <xdr:cNvPr id="22" name="CheckBox1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533775" y="16516350"/>
          <a:ext cx="1295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85</xdr:row>
      <xdr:rowOff>9525</xdr:rowOff>
    </xdr:from>
    <xdr:to>
      <xdr:col>4</xdr:col>
      <xdr:colOff>9525</xdr:colOff>
      <xdr:row>86</xdr:row>
      <xdr:rowOff>0</xdr:rowOff>
    </xdr:to>
    <xdr:pic>
      <xdr:nvPicPr>
        <xdr:cNvPr id="23" name="CheckBox1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533775" y="16754475"/>
          <a:ext cx="1295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86</xdr:row>
      <xdr:rowOff>9525</xdr:rowOff>
    </xdr:from>
    <xdr:to>
      <xdr:col>4</xdr:col>
      <xdr:colOff>0</xdr:colOff>
      <xdr:row>87</xdr:row>
      <xdr:rowOff>0</xdr:rowOff>
    </xdr:to>
    <xdr:pic>
      <xdr:nvPicPr>
        <xdr:cNvPr id="24" name="CheckBox1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543300" y="16992600"/>
          <a:ext cx="1276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87</xdr:row>
      <xdr:rowOff>9525</xdr:rowOff>
    </xdr:from>
    <xdr:to>
      <xdr:col>4</xdr:col>
      <xdr:colOff>9525</xdr:colOff>
      <xdr:row>88</xdr:row>
      <xdr:rowOff>0</xdr:rowOff>
    </xdr:to>
    <xdr:pic>
      <xdr:nvPicPr>
        <xdr:cNvPr id="25" name="CheckBox1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533775" y="17230725"/>
          <a:ext cx="1295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90</xdr:row>
      <xdr:rowOff>9525</xdr:rowOff>
    </xdr:from>
    <xdr:to>
      <xdr:col>4</xdr:col>
      <xdr:colOff>0</xdr:colOff>
      <xdr:row>91</xdr:row>
      <xdr:rowOff>0</xdr:rowOff>
    </xdr:to>
    <xdr:pic>
      <xdr:nvPicPr>
        <xdr:cNvPr id="26" name="CheckBox1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543300" y="17945100"/>
          <a:ext cx="1276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0</xdr:colOff>
      <xdr:row>89</xdr:row>
      <xdr:rowOff>9525</xdr:rowOff>
    </xdr:from>
    <xdr:to>
      <xdr:col>4</xdr:col>
      <xdr:colOff>9525</xdr:colOff>
      <xdr:row>90</xdr:row>
      <xdr:rowOff>0</xdr:rowOff>
    </xdr:to>
    <xdr:pic>
      <xdr:nvPicPr>
        <xdr:cNvPr id="27" name="CheckBox19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533775" y="17706975"/>
          <a:ext cx="1295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91</xdr:row>
      <xdr:rowOff>9525</xdr:rowOff>
    </xdr:from>
    <xdr:to>
      <xdr:col>4</xdr:col>
      <xdr:colOff>9525</xdr:colOff>
      <xdr:row>92</xdr:row>
      <xdr:rowOff>0</xdr:rowOff>
    </xdr:to>
    <xdr:pic>
      <xdr:nvPicPr>
        <xdr:cNvPr id="28" name="CheckBox20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533775" y="18183225"/>
          <a:ext cx="1295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81</xdr:row>
      <xdr:rowOff>9525</xdr:rowOff>
    </xdr:from>
    <xdr:to>
      <xdr:col>4</xdr:col>
      <xdr:colOff>866775</xdr:colOff>
      <xdr:row>82</xdr:row>
      <xdr:rowOff>9525</xdr:rowOff>
    </xdr:to>
    <xdr:pic>
      <xdr:nvPicPr>
        <xdr:cNvPr id="29" name="TextBox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43525" y="15782925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82</xdr:row>
      <xdr:rowOff>0</xdr:rowOff>
    </xdr:from>
    <xdr:to>
      <xdr:col>4</xdr:col>
      <xdr:colOff>866775</xdr:colOff>
      <xdr:row>83</xdr:row>
      <xdr:rowOff>9525</xdr:rowOff>
    </xdr:to>
    <xdr:pic>
      <xdr:nvPicPr>
        <xdr:cNvPr id="30" name="TextBox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43525" y="1603057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83</xdr:row>
      <xdr:rowOff>0</xdr:rowOff>
    </xdr:from>
    <xdr:to>
      <xdr:col>4</xdr:col>
      <xdr:colOff>866775</xdr:colOff>
      <xdr:row>84</xdr:row>
      <xdr:rowOff>9525</xdr:rowOff>
    </xdr:to>
    <xdr:pic>
      <xdr:nvPicPr>
        <xdr:cNvPr id="31" name="TextBox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343525" y="1626870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84</xdr:row>
      <xdr:rowOff>0</xdr:rowOff>
    </xdr:from>
    <xdr:to>
      <xdr:col>4</xdr:col>
      <xdr:colOff>866775</xdr:colOff>
      <xdr:row>85</xdr:row>
      <xdr:rowOff>9525</xdr:rowOff>
    </xdr:to>
    <xdr:pic>
      <xdr:nvPicPr>
        <xdr:cNvPr id="32" name="TextBox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43525" y="1650682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85</xdr:row>
      <xdr:rowOff>0</xdr:rowOff>
    </xdr:from>
    <xdr:to>
      <xdr:col>4</xdr:col>
      <xdr:colOff>866775</xdr:colOff>
      <xdr:row>86</xdr:row>
      <xdr:rowOff>9525</xdr:rowOff>
    </xdr:to>
    <xdr:pic>
      <xdr:nvPicPr>
        <xdr:cNvPr id="33" name="TextBox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343525" y="1674495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86</xdr:row>
      <xdr:rowOff>9525</xdr:rowOff>
    </xdr:from>
    <xdr:to>
      <xdr:col>4</xdr:col>
      <xdr:colOff>866775</xdr:colOff>
      <xdr:row>87</xdr:row>
      <xdr:rowOff>9525</xdr:rowOff>
    </xdr:to>
    <xdr:pic>
      <xdr:nvPicPr>
        <xdr:cNvPr id="34" name="TextBox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343525" y="169926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87</xdr:row>
      <xdr:rowOff>0</xdr:rowOff>
    </xdr:from>
    <xdr:to>
      <xdr:col>4</xdr:col>
      <xdr:colOff>866775</xdr:colOff>
      <xdr:row>88</xdr:row>
      <xdr:rowOff>9525</xdr:rowOff>
    </xdr:to>
    <xdr:pic>
      <xdr:nvPicPr>
        <xdr:cNvPr id="35" name="TextBox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43525" y="1722120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88</xdr:row>
      <xdr:rowOff>0</xdr:rowOff>
    </xdr:from>
    <xdr:to>
      <xdr:col>4</xdr:col>
      <xdr:colOff>866775</xdr:colOff>
      <xdr:row>89</xdr:row>
      <xdr:rowOff>9525</xdr:rowOff>
    </xdr:to>
    <xdr:pic>
      <xdr:nvPicPr>
        <xdr:cNvPr id="36" name="TextBox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343525" y="1745932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89</xdr:row>
      <xdr:rowOff>0</xdr:rowOff>
    </xdr:from>
    <xdr:to>
      <xdr:col>4</xdr:col>
      <xdr:colOff>866775</xdr:colOff>
      <xdr:row>90</xdr:row>
      <xdr:rowOff>9525</xdr:rowOff>
    </xdr:to>
    <xdr:pic>
      <xdr:nvPicPr>
        <xdr:cNvPr id="37" name="TextBox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343525" y="1769745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90</xdr:row>
      <xdr:rowOff>0</xdr:rowOff>
    </xdr:from>
    <xdr:to>
      <xdr:col>4</xdr:col>
      <xdr:colOff>866775</xdr:colOff>
      <xdr:row>91</xdr:row>
      <xdr:rowOff>9525</xdr:rowOff>
    </xdr:to>
    <xdr:pic>
      <xdr:nvPicPr>
        <xdr:cNvPr id="38" name="TextBox2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343525" y="1793557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91</xdr:row>
      <xdr:rowOff>9525</xdr:rowOff>
    </xdr:from>
    <xdr:to>
      <xdr:col>4</xdr:col>
      <xdr:colOff>0</xdr:colOff>
      <xdr:row>92</xdr:row>
      <xdr:rowOff>0</xdr:rowOff>
    </xdr:to>
    <xdr:pic>
      <xdr:nvPicPr>
        <xdr:cNvPr id="39" name="CheckBox25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533775" y="18183225"/>
          <a:ext cx="1285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92</xdr:row>
      <xdr:rowOff>9525</xdr:rowOff>
    </xdr:from>
    <xdr:to>
      <xdr:col>4</xdr:col>
      <xdr:colOff>0</xdr:colOff>
      <xdr:row>93</xdr:row>
      <xdr:rowOff>0</xdr:rowOff>
    </xdr:to>
    <xdr:pic>
      <xdr:nvPicPr>
        <xdr:cNvPr id="40" name="CheckBox26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543300" y="18421350"/>
          <a:ext cx="1276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0</xdr:colOff>
      <xdr:row>93</xdr:row>
      <xdr:rowOff>9525</xdr:rowOff>
    </xdr:from>
    <xdr:to>
      <xdr:col>4</xdr:col>
      <xdr:colOff>0</xdr:colOff>
      <xdr:row>94</xdr:row>
      <xdr:rowOff>0</xdr:rowOff>
    </xdr:to>
    <xdr:pic>
      <xdr:nvPicPr>
        <xdr:cNvPr id="41" name="CheckBox27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533775" y="18659475"/>
          <a:ext cx="1285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94</xdr:row>
      <xdr:rowOff>9525</xdr:rowOff>
    </xdr:from>
    <xdr:to>
      <xdr:col>4</xdr:col>
      <xdr:colOff>0</xdr:colOff>
      <xdr:row>95</xdr:row>
      <xdr:rowOff>0</xdr:rowOff>
    </xdr:to>
    <xdr:pic>
      <xdr:nvPicPr>
        <xdr:cNvPr id="42" name="CheckBox28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533775" y="18897600"/>
          <a:ext cx="1285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91</xdr:row>
      <xdr:rowOff>0</xdr:rowOff>
    </xdr:from>
    <xdr:to>
      <xdr:col>4</xdr:col>
      <xdr:colOff>866775</xdr:colOff>
      <xdr:row>92</xdr:row>
      <xdr:rowOff>9525</xdr:rowOff>
    </xdr:to>
    <xdr:pic>
      <xdr:nvPicPr>
        <xdr:cNvPr id="43" name="TextBox3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343525" y="1817370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92</xdr:row>
      <xdr:rowOff>0</xdr:rowOff>
    </xdr:from>
    <xdr:to>
      <xdr:col>4</xdr:col>
      <xdr:colOff>866775</xdr:colOff>
      <xdr:row>93</xdr:row>
      <xdr:rowOff>9525</xdr:rowOff>
    </xdr:to>
    <xdr:pic>
      <xdr:nvPicPr>
        <xdr:cNvPr id="44" name="TextBox3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343525" y="1841182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93</xdr:row>
      <xdr:rowOff>0</xdr:rowOff>
    </xdr:from>
    <xdr:to>
      <xdr:col>4</xdr:col>
      <xdr:colOff>866775</xdr:colOff>
      <xdr:row>94</xdr:row>
      <xdr:rowOff>9525</xdr:rowOff>
    </xdr:to>
    <xdr:pic>
      <xdr:nvPicPr>
        <xdr:cNvPr id="45" name="TextBox3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343525" y="1864995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94</xdr:row>
      <xdr:rowOff>0</xdr:rowOff>
    </xdr:from>
    <xdr:to>
      <xdr:col>4</xdr:col>
      <xdr:colOff>866775</xdr:colOff>
      <xdr:row>95</xdr:row>
      <xdr:rowOff>9525</xdr:rowOff>
    </xdr:to>
    <xdr:pic>
      <xdr:nvPicPr>
        <xdr:cNvPr id="46" name="TextBox3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343525" y="1888807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81</xdr:row>
      <xdr:rowOff>9525</xdr:rowOff>
    </xdr:from>
    <xdr:to>
      <xdr:col>2</xdr:col>
      <xdr:colOff>0</xdr:colOff>
      <xdr:row>81</xdr:row>
      <xdr:rowOff>247650</xdr:rowOff>
    </xdr:to>
    <xdr:pic>
      <xdr:nvPicPr>
        <xdr:cNvPr id="47" name="CheckBox2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1057275" y="15782925"/>
          <a:ext cx="1276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81</xdr:row>
      <xdr:rowOff>247650</xdr:rowOff>
    </xdr:from>
    <xdr:to>
      <xdr:col>2</xdr:col>
      <xdr:colOff>0</xdr:colOff>
      <xdr:row>82</xdr:row>
      <xdr:rowOff>228600</xdr:rowOff>
    </xdr:to>
    <xdr:pic>
      <xdr:nvPicPr>
        <xdr:cNvPr id="48" name="CheckBox1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1047750" y="1602105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82</xdr:row>
      <xdr:rowOff>228600</xdr:rowOff>
    </xdr:from>
    <xdr:to>
      <xdr:col>2</xdr:col>
      <xdr:colOff>0</xdr:colOff>
      <xdr:row>84</xdr:row>
      <xdr:rowOff>0</xdr:rowOff>
    </xdr:to>
    <xdr:pic>
      <xdr:nvPicPr>
        <xdr:cNvPr id="49" name="CheckBox3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1057275" y="16259175"/>
          <a:ext cx="12763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2</xdr:col>
      <xdr:colOff>0</xdr:colOff>
      <xdr:row>85</xdr:row>
      <xdr:rowOff>0</xdr:rowOff>
    </xdr:to>
    <xdr:pic>
      <xdr:nvPicPr>
        <xdr:cNvPr id="50" name="CheckBox5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1047750" y="16506825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2</xdr:col>
      <xdr:colOff>0</xdr:colOff>
      <xdr:row>85</xdr:row>
      <xdr:rowOff>228600</xdr:rowOff>
    </xdr:to>
    <xdr:pic>
      <xdr:nvPicPr>
        <xdr:cNvPr id="51" name="CheckBox4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1047750" y="16744950"/>
          <a:ext cx="1285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85</xdr:row>
      <xdr:rowOff>228600</xdr:rowOff>
    </xdr:from>
    <xdr:to>
      <xdr:col>2</xdr:col>
      <xdr:colOff>0</xdr:colOff>
      <xdr:row>86</xdr:row>
      <xdr:rowOff>219075</xdr:rowOff>
    </xdr:to>
    <xdr:pic>
      <xdr:nvPicPr>
        <xdr:cNvPr id="52" name="CheckBox6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057275" y="16973550"/>
          <a:ext cx="1276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86</xdr:row>
      <xdr:rowOff>219075</xdr:rowOff>
    </xdr:from>
    <xdr:to>
      <xdr:col>2</xdr:col>
      <xdr:colOff>0</xdr:colOff>
      <xdr:row>88</xdr:row>
      <xdr:rowOff>0</xdr:rowOff>
    </xdr:to>
    <xdr:pic>
      <xdr:nvPicPr>
        <xdr:cNvPr id="53" name="CheckBox7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047750" y="17202150"/>
          <a:ext cx="1285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88</xdr:row>
      <xdr:rowOff>0</xdr:rowOff>
    </xdr:from>
    <xdr:to>
      <xdr:col>2</xdr:col>
      <xdr:colOff>0</xdr:colOff>
      <xdr:row>88</xdr:row>
      <xdr:rowOff>228600</xdr:rowOff>
    </xdr:to>
    <xdr:pic>
      <xdr:nvPicPr>
        <xdr:cNvPr id="54" name="CheckBox8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057275" y="17459325"/>
          <a:ext cx="1276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88</xdr:row>
      <xdr:rowOff>228600</xdr:rowOff>
    </xdr:from>
    <xdr:to>
      <xdr:col>2</xdr:col>
      <xdr:colOff>0</xdr:colOff>
      <xdr:row>89</xdr:row>
      <xdr:rowOff>219075</xdr:rowOff>
    </xdr:to>
    <xdr:pic>
      <xdr:nvPicPr>
        <xdr:cNvPr id="55" name="CheckBox9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1047750" y="17687925"/>
          <a:ext cx="1285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219075</xdr:rowOff>
    </xdr:from>
    <xdr:to>
      <xdr:col>2</xdr:col>
      <xdr:colOff>0</xdr:colOff>
      <xdr:row>91</xdr:row>
      <xdr:rowOff>19050</xdr:rowOff>
    </xdr:to>
    <xdr:pic>
      <xdr:nvPicPr>
        <xdr:cNvPr id="56" name="CheckBox10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1047750" y="17916525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81</xdr:row>
      <xdr:rowOff>9525</xdr:rowOff>
    </xdr:from>
    <xdr:to>
      <xdr:col>2</xdr:col>
      <xdr:colOff>771525</xdr:colOff>
      <xdr:row>81</xdr:row>
      <xdr:rowOff>247650</xdr:rowOff>
    </xdr:to>
    <xdr:pic>
      <xdr:nvPicPr>
        <xdr:cNvPr id="57" name="TextBox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762250" y="1578292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81</xdr:row>
      <xdr:rowOff>238125</xdr:rowOff>
    </xdr:from>
    <xdr:to>
      <xdr:col>2</xdr:col>
      <xdr:colOff>771525</xdr:colOff>
      <xdr:row>82</xdr:row>
      <xdr:rowOff>228600</xdr:rowOff>
    </xdr:to>
    <xdr:pic>
      <xdr:nvPicPr>
        <xdr:cNvPr id="58" name="TextBox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762250" y="1601152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82</xdr:row>
      <xdr:rowOff>219075</xdr:rowOff>
    </xdr:from>
    <xdr:to>
      <xdr:col>2</xdr:col>
      <xdr:colOff>771525</xdr:colOff>
      <xdr:row>83</xdr:row>
      <xdr:rowOff>228600</xdr:rowOff>
    </xdr:to>
    <xdr:pic>
      <xdr:nvPicPr>
        <xdr:cNvPr id="59" name="TextBox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762250" y="1624965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83</xdr:row>
      <xdr:rowOff>219075</xdr:rowOff>
    </xdr:from>
    <xdr:to>
      <xdr:col>2</xdr:col>
      <xdr:colOff>771525</xdr:colOff>
      <xdr:row>85</xdr:row>
      <xdr:rowOff>0</xdr:rowOff>
    </xdr:to>
    <xdr:pic>
      <xdr:nvPicPr>
        <xdr:cNvPr id="60" name="TextBox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762250" y="16487775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84</xdr:row>
      <xdr:rowOff>228600</xdr:rowOff>
    </xdr:from>
    <xdr:to>
      <xdr:col>2</xdr:col>
      <xdr:colOff>771525</xdr:colOff>
      <xdr:row>86</xdr:row>
      <xdr:rowOff>0</xdr:rowOff>
    </xdr:to>
    <xdr:pic>
      <xdr:nvPicPr>
        <xdr:cNvPr id="61" name="TextBox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762250" y="1673542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86</xdr:row>
      <xdr:rowOff>0</xdr:rowOff>
    </xdr:from>
    <xdr:to>
      <xdr:col>2</xdr:col>
      <xdr:colOff>771525</xdr:colOff>
      <xdr:row>87</xdr:row>
      <xdr:rowOff>0</xdr:rowOff>
    </xdr:to>
    <xdr:pic>
      <xdr:nvPicPr>
        <xdr:cNvPr id="62" name="TextBox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762250" y="1698307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86</xdr:row>
      <xdr:rowOff>228600</xdr:rowOff>
    </xdr:from>
    <xdr:to>
      <xdr:col>2</xdr:col>
      <xdr:colOff>771525</xdr:colOff>
      <xdr:row>88</xdr:row>
      <xdr:rowOff>0</xdr:rowOff>
    </xdr:to>
    <xdr:pic>
      <xdr:nvPicPr>
        <xdr:cNvPr id="63" name="TextBox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762250" y="1721167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87</xdr:row>
      <xdr:rowOff>228600</xdr:rowOff>
    </xdr:from>
    <xdr:to>
      <xdr:col>2</xdr:col>
      <xdr:colOff>771525</xdr:colOff>
      <xdr:row>89</xdr:row>
      <xdr:rowOff>0</xdr:rowOff>
    </xdr:to>
    <xdr:pic>
      <xdr:nvPicPr>
        <xdr:cNvPr id="64" name="TextBox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762250" y="1744980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88</xdr:row>
      <xdr:rowOff>228600</xdr:rowOff>
    </xdr:from>
    <xdr:to>
      <xdr:col>2</xdr:col>
      <xdr:colOff>771525</xdr:colOff>
      <xdr:row>90</xdr:row>
      <xdr:rowOff>0</xdr:rowOff>
    </xdr:to>
    <xdr:pic>
      <xdr:nvPicPr>
        <xdr:cNvPr id="65" name="TextBox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762250" y="1768792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89</xdr:row>
      <xdr:rowOff>228600</xdr:rowOff>
    </xdr:from>
    <xdr:to>
      <xdr:col>2</xdr:col>
      <xdr:colOff>771525</xdr:colOff>
      <xdr:row>91</xdr:row>
      <xdr:rowOff>0</xdr:rowOff>
    </xdr:to>
    <xdr:pic>
      <xdr:nvPicPr>
        <xdr:cNvPr id="66" name="TextBox1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762250" y="1792605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91</xdr:row>
      <xdr:rowOff>0</xdr:rowOff>
    </xdr:from>
    <xdr:to>
      <xdr:col>2</xdr:col>
      <xdr:colOff>0</xdr:colOff>
      <xdr:row>92</xdr:row>
      <xdr:rowOff>0</xdr:rowOff>
    </xdr:to>
    <xdr:pic>
      <xdr:nvPicPr>
        <xdr:cNvPr id="67" name="CheckBox21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1047750" y="18173700"/>
          <a:ext cx="1285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92</xdr:row>
      <xdr:rowOff>9525</xdr:rowOff>
    </xdr:from>
    <xdr:to>
      <xdr:col>2</xdr:col>
      <xdr:colOff>0</xdr:colOff>
      <xdr:row>93</xdr:row>
      <xdr:rowOff>0</xdr:rowOff>
    </xdr:to>
    <xdr:pic>
      <xdr:nvPicPr>
        <xdr:cNvPr id="68" name="CheckBox22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1057275" y="18421350"/>
          <a:ext cx="1276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93</xdr:row>
      <xdr:rowOff>9525</xdr:rowOff>
    </xdr:from>
    <xdr:to>
      <xdr:col>2</xdr:col>
      <xdr:colOff>0</xdr:colOff>
      <xdr:row>94</xdr:row>
      <xdr:rowOff>0</xdr:rowOff>
    </xdr:to>
    <xdr:pic>
      <xdr:nvPicPr>
        <xdr:cNvPr id="69" name="CheckBox23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1047750" y="18659475"/>
          <a:ext cx="1285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94</xdr:row>
      <xdr:rowOff>9525</xdr:rowOff>
    </xdr:from>
    <xdr:to>
      <xdr:col>2</xdr:col>
      <xdr:colOff>0</xdr:colOff>
      <xdr:row>95</xdr:row>
      <xdr:rowOff>0</xdr:rowOff>
    </xdr:to>
    <xdr:pic>
      <xdr:nvPicPr>
        <xdr:cNvPr id="70" name="CheckBox24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047750" y="18897600"/>
          <a:ext cx="1285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90</xdr:row>
      <xdr:rowOff>228600</xdr:rowOff>
    </xdr:from>
    <xdr:to>
      <xdr:col>2</xdr:col>
      <xdr:colOff>771525</xdr:colOff>
      <xdr:row>92</xdr:row>
      <xdr:rowOff>9525</xdr:rowOff>
    </xdr:to>
    <xdr:pic>
      <xdr:nvPicPr>
        <xdr:cNvPr id="71" name="TextBox3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762250" y="18164175"/>
          <a:ext cx="342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92</xdr:row>
      <xdr:rowOff>0</xdr:rowOff>
    </xdr:from>
    <xdr:to>
      <xdr:col>2</xdr:col>
      <xdr:colOff>771525</xdr:colOff>
      <xdr:row>93</xdr:row>
      <xdr:rowOff>9525</xdr:rowOff>
    </xdr:to>
    <xdr:pic>
      <xdr:nvPicPr>
        <xdr:cNvPr id="72" name="TextBox3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762250" y="1841182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93</xdr:row>
      <xdr:rowOff>0</xdr:rowOff>
    </xdr:from>
    <xdr:to>
      <xdr:col>2</xdr:col>
      <xdr:colOff>771525</xdr:colOff>
      <xdr:row>94</xdr:row>
      <xdr:rowOff>9525</xdr:rowOff>
    </xdr:to>
    <xdr:pic>
      <xdr:nvPicPr>
        <xdr:cNvPr id="73" name="TextBox3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762250" y="1864995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94</xdr:row>
      <xdr:rowOff>0</xdr:rowOff>
    </xdr:from>
    <xdr:to>
      <xdr:col>2</xdr:col>
      <xdr:colOff>771525</xdr:colOff>
      <xdr:row>95</xdr:row>
      <xdr:rowOff>9525</xdr:rowOff>
    </xdr:to>
    <xdr:pic>
      <xdr:nvPicPr>
        <xdr:cNvPr id="74" name="TextBox4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762250" y="1888807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66</xdr:row>
      <xdr:rowOff>152400</xdr:rowOff>
    </xdr:from>
    <xdr:to>
      <xdr:col>4</xdr:col>
      <xdr:colOff>962025</xdr:colOff>
      <xdr:row>68</xdr:row>
      <xdr:rowOff>9525</xdr:rowOff>
    </xdr:to>
    <xdr:pic>
      <xdr:nvPicPr>
        <xdr:cNvPr id="75" name="TextBox4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200650" y="12687300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71</xdr:row>
      <xdr:rowOff>0</xdr:rowOff>
    </xdr:from>
    <xdr:to>
      <xdr:col>4</xdr:col>
      <xdr:colOff>942975</xdr:colOff>
      <xdr:row>72</xdr:row>
      <xdr:rowOff>19050</xdr:rowOff>
    </xdr:to>
    <xdr:pic>
      <xdr:nvPicPr>
        <xdr:cNvPr id="76" name="TextBox4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181600" y="13515975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74</xdr:row>
      <xdr:rowOff>200025</xdr:rowOff>
    </xdr:from>
    <xdr:to>
      <xdr:col>4</xdr:col>
      <xdr:colOff>933450</xdr:colOff>
      <xdr:row>76</xdr:row>
      <xdr:rowOff>9525</xdr:rowOff>
    </xdr:to>
    <xdr:pic>
      <xdr:nvPicPr>
        <xdr:cNvPr id="77" name="TextBox4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172075" y="14335125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67</xdr:row>
      <xdr:rowOff>0</xdr:rowOff>
    </xdr:from>
    <xdr:to>
      <xdr:col>5</xdr:col>
      <xdr:colOff>942975</xdr:colOff>
      <xdr:row>68</xdr:row>
      <xdr:rowOff>19050</xdr:rowOff>
    </xdr:to>
    <xdr:pic>
      <xdr:nvPicPr>
        <xdr:cNvPr id="78" name="TextBox4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448425" y="12696825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71</xdr:row>
      <xdr:rowOff>0</xdr:rowOff>
    </xdr:from>
    <xdr:to>
      <xdr:col>5</xdr:col>
      <xdr:colOff>933450</xdr:colOff>
      <xdr:row>72</xdr:row>
      <xdr:rowOff>19050</xdr:rowOff>
    </xdr:to>
    <xdr:pic>
      <xdr:nvPicPr>
        <xdr:cNvPr id="79" name="TextBox4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438900" y="13515975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75</xdr:row>
      <xdr:rowOff>0</xdr:rowOff>
    </xdr:from>
    <xdr:to>
      <xdr:col>5</xdr:col>
      <xdr:colOff>942975</xdr:colOff>
      <xdr:row>76</xdr:row>
      <xdr:rowOff>19050</xdr:rowOff>
    </xdr:to>
    <xdr:pic>
      <xdr:nvPicPr>
        <xdr:cNvPr id="80" name="TextBox4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448425" y="14344650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67</xdr:row>
      <xdr:rowOff>0</xdr:rowOff>
    </xdr:from>
    <xdr:to>
      <xdr:col>6</xdr:col>
      <xdr:colOff>542925</xdr:colOff>
      <xdr:row>68</xdr:row>
      <xdr:rowOff>19050</xdr:rowOff>
    </xdr:to>
    <xdr:pic>
      <xdr:nvPicPr>
        <xdr:cNvPr id="81" name="TextBox4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7581900" y="12696825"/>
          <a:ext cx="314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71</xdr:row>
      <xdr:rowOff>0</xdr:rowOff>
    </xdr:from>
    <xdr:to>
      <xdr:col>6</xdr:col>
      <xdr:colOff>542925</xdr:colOff>
      <xdr:row>72</xdr:row>
      <xdr:rowOff>19050</xdr:rowOff>
    </xdr:to>
    <xdr:pic>
      <xdr:nvPicPr>
        <xdr:cNvPr id="82" name="TextBox4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572375" y="13515975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74</xdr:row>
      <xdr:rowOff>200025</xdr:rowOff>
    </xdr:from>
    <xdr:to>
      <xdr:col>6</xdr:col>
      <xdr:colOff>542925</xdr:colOff>
      <xdr:row>76</xdr:row>
      <xdr:rowOff>9525</xdr:rowOff>
    </xdr:to>
    <xdr:pic>
      <xdr:nvPicPr>
        <xdr:cNvPr id="83" name="TextBox4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7591425" y="14335125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4</xdr:col>
      <xdr:colOff>0</xdr:colOff>
      <xdr:row>89</xdr:row>
      <xdr:rowOff>19050</xdr:rowOff>
    </xdr:to>
    <xdr:pic>
      <xdr:nvPicPr>
        <xdr:cNvPr id="84" name="CheckBox32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3543300" y="17459325"/>
          <a:ext cx="1276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95</xdr:row>
      <xdr:rowOff>0</xdr:rowOff>
    </xdr:from>
    <xdr:to>
      <xdr:col>2</xdr:col>
      <xdr:colOff>771525</xdr:colOff>
      <xdr:row>96</xdr:row>
      <xdr:rowOff>9525</xdr:rowOff>
    </xdr:to>
    <xdr:pic>
      <xdr:nvPicPr>
        <xdr:cNvPr id="85" name="TextBox50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762250" y="1912620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96</xdr:row>
      <xdr:rowOff>0</xdr:rowOff>
    </xdr:from>
    <xdr:to>
      <xdr:col>2</xdr:col>
      <xdr:colOff>771525</xdr:colOff>
      <xdr:row>97</xdr:row>
      <xdr:rowOff>9525</xdr:rowOff>
    </xdr:to>
    <xdr:pic>
      <xdr:nvPicPr>
        <xdr:cNvPr id="86" name="TextBox5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762250" y="1936432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95</xdr:row>
      <xdr:rowOff>0</xdr:rowOff>
    </xdr:from>
    <xdr:to>
      <xdr:col>4</xdr:col>
      <xdr:colOff>866775</xdr:colOff>
      <xdr:row>96</xdr:row>
      <xdr:rowOff>9525</xdr:rowOff>
    </xdr:to>
    <xdr:pic>
      <xdr:nvPicPr>
        <xdr:cNvPr id="87" name="TextBox52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343525" y="1912620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96</xdr:row>
      <xdr:rowOff>0</xdr:rowOff>
    </xdr:from>
    <xdr:to>
      <xdr:col>4</xdr:col>
      <xdr:colOff>866775</xdr:colOff>
      <xdr:row>97</xdr:row>
      <xdr:rowOff>9525</xdr:rowOff>
    </xdr:to>
    <xdr:pic>
      <xdr:nvPicPr>
        <xdr:cNvPr id="88" name="TextBox5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343525" y="1936432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96</xdr:row>
      <xdr:rowOff>19050</xdr:rowOff>
    </xdr:from>
    <xdr:to>
      <xdr:col>1</xdr:col>
      <xdr:colOff>1276350</xdr:colOff>
      <xdr:row>96</xdr:row>
      <xdr:rowOff>219075</xdr:rowOff>
    </xdr:to>
    <xdr:pic>
      <xdr:nvPicPr>
        <xdr:cNvPr id="89" name="TextBox54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076325" y="19383375"/>
          <a:ext cx="12477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95</xdr:row>
      <xdr:rowOff>19050</xdr:rowOff>
    </xdr:from>
    <xdr:to>
      <xdr:col>1</xdr:col>
      <xdr:colOff>1276350</xdr:colOff>
      <xdr:row>95</xdr:row>
      <xdr:rowOff>219075</xdr:rowOff>
    </xdr:to>
    <xdr:pic>
      <xdr:nvPicPr>
        <xdr:cNvPr id="90" name="TextBox5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076325" y="19145250"/>
          <a:ext cx="12477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28575</xdr:colOff>
      <xdr:row>96</xdr:row>
      <xdr:rowOff>19050</xdr:rowOff>
    </xdr:from>
    <xdr:to>
      <xdr:col>3</xdr:col>
      <xdr:colOff>1276350</xdr:colOff>
      <xdr:row>96</xdr:row>
      <xdr:rowOff>219075</xdr:rowOff>
    </xdr:to>
    <xdr:pic>
      <xdr:nvPicPr>
        <xdr:cNvPr id="91" name="TextBox56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562350" y="19383375"/>
          <a:ext cx="12477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28575</xdr:colOff>
      <xdr:row>95</xdr:row>
      <xdr:rowOff>19050</xdr:rowOff>
    </xdr:from>
    <xdr:to>
      <xdr:col>3</xdr:col>
      <xdr:colOff>1276350</xdr:colOff>
      <xdr:row>95</xdr:row>
      <xdr:rowOff>219075</xdr:rowOff>
    </xdr:to>
    <xdr:pic>
      <xdr:nvPicPr>
        <xdr:cNvPr id="92" name="TextBox57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3562350" y="19145250"/>
          <a:ext cx="12477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428625</xdr:colOff>
      <xdr:row>95</xdr:row>
      <xdr:rowOff>0</xdr:rowOff>
    </xdr:from>
    <xdr:to>
      <xdr:col>5</xdr:col>
      <xdr:colOff>771525</xdr:colOff>
      <xdr:row>96</xdr:row>
      <xdr:rowOff>9525</xdr:rowOff>
    </xdr:to>
    <xdr:pic>
      <xdr:nvPicPr>
        <xdr:cNvPr id="93" name="TextBox58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515100" y="1912620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96</xdr:row>
      <xdr:rowOff>0</xdr:rowOff>
    </xdr:from>
    <xdr:to>
      <xdr:col>5</xdr:col>
      <xdr:colOff>771525</xdr:colOff>
      <xdr:row>97</xdr:row>
      <xdr:rowOff>9525</xdr:rowOff>
    </xdr:to>
    <xdr:pic>
      <xdr:nvPicPr>
        <xdr:cNvPr id="94" name="TextBox59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6515100" y="1936432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94</xdr:row>
      <xdr:rowOff>228600</xdr:rowOff>
    </xdr:from>
    <xdr:to>
      <xdr:col>6</xdr:col>
      <xdr:colOff>571500</xdr:colOff>
      <xdr:row>96</xdr:row>
      <xdr:rowOff>0</xdr:rowOff>
    </xdr:to>
    <xdr:pic>
      <xdr:nvPicPr>
        <xdr:cNvPr id="95" name="TextBox60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7581900" y="1911667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95</xdr:row>
      <xdr:rowOff>228600</xdr:rowOff>
    </xdr:from>
    <xdr:to>
      <xdr:col>6</xdr:col>
      <xdr:colOff>571500</xdr:colOff>
      <xdr:row>97</xdr:row>
      <xdr:rowOff>0</xdr:rowOff>
    </xdr:to>
    <xdr:pic>
      <xdr:nvPicPr>
        <xdr:cNvPr id="96" name="TextBox6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581900" y="1935480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E56"/>
  <sheetViews>
    <sheetView tabSelected="1" workbookViewId="0" topLeftCell="A16">
      <selection activeCell="A16" sqref="A1:IV16384"/>
    </sheetView>
  </sheetViews>
  <sheetFormatPr defaultColWidth="11.421875" defaultRowHeight="12.75"/>
  <cols>
    <col min="1" max="1" width="9.28125" style="170" customWidth="1"/>
    <col min="2" max="16384" width="11.421875" style="170" customWidth="1"/>
  </cols>
  <sheetData>
    <row r="1" spans="1:5" ht="12.75">
      <c r="A1" s="248" t="s">
        <v>346</v>
      </c>
      <c r="B1" s="248"/>
      <c r="C1" s="248"/>
      <c r="D1" s="248"/>
      <c r="E1" s="248"/>
    </row>
    <row r="2" spans="1:2" ht="12.75">
      <c r="A2" s="170" t="s">
        <v>347</v>
      </c>
      <c r="B2" s="170" t="s">
        <v>348</v>
      </c>
    </row>
    <row r="4" ht="12.75">
      <c r="A4" s="170" t="s">
        <v>349</v>
      </c>
    </row>
    <row r="5" ht="12.75">
      <c r="A5" s="170" t="s">
        <v>350</v>
      </c>
    </row>
    <row r="7" ht="12.75">
      <c r="A7" s="170" t="s">
        <v>351</v>
      </c>
    </row>
    <row r="9" ht="12.75">
      <c r="A9" s="170" t="s">
        <v>352</v>
      </c>
    </row>
    <row r="10" ht="12.75">
      <c r="A10" s="170" t="s">
        <v>353</v>
      </c>
    </row>
    <row r="11" ht="12.75">
      <c r="A11" s="170" t="s">
        <v>354</v>
      </c>
    </row>
    <row r="12" ht="12.75">
      <c r="A12" s="170" t="s">
        <v>355</v>
      </c>
    </row>
    <row r="13" ht="12.75">
      <c r="A13" s="170" t="s">
        <v>356</v>
      </c>
    </row>
    <row r="14" ht="12.75">
      <c r="A14" s="170" t="s">
        <v>357</v>
      </c>
    </row>
    <row r="15" ht="12.75">
      <c r="A15" s="170" t="s">
        <v>358</v>
      </c>
    </row>
    <row r="16" ht="12.75">
      <c r="A16" s="170" t="s">
        <v>359</v>
      </c>
    </row>
    <row r="17" ht="12.75">
      <c r="A17" s="170" t="s">
        <v>447</v>
      </c>
    </row>
    <row r="18" ht="12.75">
      <c r="A18" s="170" t="s">
        <v>360</v>
      </c>
    </row>
    <row r="19" ht="12.75">
      <c r="A19" s="170" t="s">
        <v>361</v>
      </c>
    </row>
    <row r="20" ht="12.75">
      <c r="A20" s="170" t="s">
        <v>362</v>
      </c>
    </row>
    <row r="21" ht="12.75">
      <c r="A21" s="170" t="s">
        <v>364</v>
      </c>
    </row>
    <row r="22" ht="12.75">
      <c r="A22" s="170" t="s">
        <v>363</v>
      </c>
    </row>
    <row r="23" ht="12.75">
      <c r="A23" s="170" t="s">
        <v>365</v>
      </c>
    </row>
    <row r="24" ht="12.75">
      <c r="A24" s="170" t="s">
        <v>448</v>
      </c>
    </row>
    <row r="25" ht="12.75">
      <c r="A25" s="170" t="s">
        <v>366</v>
      </c>
    </row>
    <row r="26" ht="12.75">
      <c r="A26" s="170" t="s">
        <v>367</v>
      </c>
    </row>
    <row r="27" ht="12.75">
      <c r="A27" s="170" t="s">
        <v>368</v>
      </c>
    </row>
    <row r="28" ht="12.75">
      <c r="A28" s="170" t="s">
        <v>369</v>
      </c>
    </row>
    <row r="32" ht="12.75">
      <c r="A32" s="226" t="s">
        <v>441</v>
      </c>
    </row>
    <row r="33" ht="12.75">
      <c r="A33" s="170" t="s">
        <v>442</v>
      </c>
    </row>
    <row r="34" ht="12.75">
      <c r="A34" s="170" t="s">
        <v>451</v>
      </c>
    </row>
    <row r="35" ht="12.75">
      <c r="A35" s="170" t="s">
        <v>463</v>
      </c>
    </row>
    <row r="36" ht="12.75">
      <c r="A36" s="170" t="s">
        <v>445</v>
      </c>
    </row>
    <row r="37" ht="12.75">
      <c r="A37" s="170" t="s">
        <v>449</v>
      </c>
    </row>
    <row r="38" ht="12.75">
      <c r="A38" s="170" t="s">
        <v>446</v>
      </c>
    </row>
    <row r="39" ht="12.75">
      <c r="A39" s="170" t="s">
        <v>450</v>
      </c>
    </row>
    <row r="40" ht="12.75">
      <c r="A40" s="170" t="s">
        <v>452</v>
      </c>
    </row>
    <row r="41" ht="12.75">
      <c r="A41" s="170" t="s">
        <v>457</v>
      </c>
    </row>
    <row r="42" ht="12.75">
      <c r="A42" s="170" t="s">
        <v>460</v>
      </c>
    </row>
    <row r="43" ht="12.75">
      <c r="A43" s="170" t="s">
        <v>461</v>
      </c>
    </row>
    <row r="44" ht="12.75">
      <c r="A44" s="170" t="s">
        <v>462</v>
      </c>
    </row>
    <row r="46" ht="12.75">
      <c r="A46" s="226" t="s">
        <v>472</v>
      </c>
    </row>
    <row r="47" ht="12.75">
      <c r="A47" s="170" t="s">
        <v>473</v>
      </c>
    </row>
    <row r="48" ht="12.75">
      <c r="A48" s="170" t="s">
        <v>497</v>
      </c>
    </row>
    <row r="49" ht="12.75">
      <c r="A49" s="170" t="s">
        <v>496</v>
      </c>
    </row>
    <row r="50" ht="12.75">
      <c r="A50" s="170" t="s">
        <v>500</v>
      </c>
    </row>
    <row r="51" ht="12.75">
      <c r="A51" s="170" t="s">
        <v>502</v>
      </c>
    </row>
    <row r="52" ht="12.75">
      <c r="A52" s="170" t="s">
        <v>501</v>
      </c>
    </row>
    <row r="53" ht="12.75">
      <c r="A53" s="170" t="s">
        <v>503</v>
      </c>
    </row>
    <row r="55" ht="12.75">
      <c r="A55" s="226"/>
    </row>
    <row r="56" ht="12.75">
      <c r="A56" s="170" t="s">
        <v>370</v>
      </c>
    </row>
  </sheetData>
  <sheetProtection password="C7D4" sheet="1" objects="1" scenarios="1"/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J137"/>
  <sheetViews>
    <sheetView workbookViewId="0" topLeftCell="A1">
      <selection activeCell="A1" sqref="A1:IV16384"/>
    </sheetView>
  </sheetViews>
  <sheetFormatPr defaultColWidth="11.421875" defaultRowHeight="12.75"/>
  <cols>
    <col min="1" max="1" width="15.7109375" style="3" customWidth="1"/>
    <col min="2" max="2" width="19.28125" style="2" customWidth="1"/>
    <col min="3" max="3" width="18.00390625" style="2" customWidth="1"/>
    <col min="4" max="4" width="19.28125" style="2" customWidth="1"/>
    <col min="5" max="6" width="19.00390625" style="2" bestFit="1" customWidth="1"/>
    <col min="7" max="16384" width="11.421875" style="2" customWidth="1"/>
  </cols>
  <sheetData>
    <row r="1" spans="1:7" ht="24">
      <c r="A1" s="235" t="s">
        <v>474</v>
      </c>
      <c r="B1" s="179" t="s">
        <v>118</v>
      </c>
      <c r="C1" s="122"/>
      <c r="F1" s="125" t="s">
        <v>119</v>
      </c>
      <c r="G1" s="123"/>
    </row>
    <row r="2" spans="2:7" ht="12.75">
      <c r="B2" s="197" t="s">
        <v>120</v>
      </c>
      <c r="C2" s="252" t="s">
        <v>511</v>
      </c>
      <c r="D2" s="253"/>
      <c r="F2" s="191" t="s">
        <v>121</v>
      </c>
      <c r="G2" s="194">
        <v>0</v>
      </c>
    </row>
    <row r="3" spans="2:7" ht="12.75">
      <c r="B3" s="198" t="s">
        <v>123</v>
      </c>
      <c r="C3" s="254" t="s">
        <v>512</v>
      </c>
      <c r="D3" s="255"/>
      <c r="F3" s="192" t="s">
        <v>122</v>
      </c>
      <c r="G3" s="195">
        <v>0</v>
      </c>
    </row>
    <row r="4" spans="2:7" ht="12.75">
      <c r="B4" s="198" t="s">
        <v>125</v>
      </c>
      <c r="C4" s="254">
        <v>24</v>
      </c>
      <c r="D4" s="255"/>
      <c r="F4" s="192" t="s">
        <v>124</v>
      </c>
      <c r="G4" s="195">
        <v>0</v>
      </c>
    </row>
    <row r="5" spans="2:7" ht="12.75">
      <c r="B5" s="199" t="s">
        <v>127</v>
      </c>
      <c r="C5" s="221">
        <v>65345</v>
      </c>
      <c r="D5" s="236">
        <v>0</v>
      </c>
      <c r="E5" s="170"/>
      <c r="F5" s="193" t="s">
        <v>126</v>
      </c>
      <c r="G5" s="196">
        <v>0</v>
      </c>
    </row>
    <row r="6" spans="1:10" ht="15.75" customHeight="1">
      <c r="A6" s="164"/>
      <c r="B6" s="124"/>
      <c r="C6" s="170"/>
      <c r="E6" s="170"/>
      <c r="F6" s="170"/>
      <c r="G6" s="170"/>
      <c r="H6" s="170"/>
      <c r="I6" s="170"/>
      <c r="J6" s="170"/>
    </row>
    <row r="7" spans="1:10" ht="12.75">
      <c r="A7" s="164"/>
      <c r="B7" s="124" t="s">
        <v>128</v>
      </c>
      <c r="C7" s="1">
        <v>1</v>
      </c>
      <c r="D7" s="170"/>
      <c r="E7" s="170"/>
      <c r="F7" s="170"/>
      <c r="G7" s="170"/>
      <c r="H7" s="170"/>
      <c r="I7" s="170"/>
      <c r="J7" s="170"/>
    </row>
    <row r="8" spans="1:10" ht="15" customHeight="1">
      <c r="A8" s="164"/>
      <c r="B8" s="165"/>
      <c r="C8" s="166" t="s">
        <v>129</v>
      </c>
      <c r="D8" s="166" t="s">
        <v>130</v>
      </c>
      <c r="E8" s="170"/>
      <c r="F8" s="170"/>
      <c r="G8" s="170"/>
      <c r="H8" s="170"/>
      <c r="I8" s="170"/>
      <c r="J8" s="170"/>
    </row>
    <row r="9" spans="1:10" ht="15" customHeight="1">
      <c r="A9" s="164"/>
      <c r="B9" s="124" t="s">
        <v>131</v>
      </c>
      <c r="C9" s="231">
        <v>7</v>
      </c>
      <c r="D9" s="171">
        <v>1</v>
      </c>
      <c r="E9" s="170"/>
      <c r="F9" s="170"/>
      <c r="G9" s="170"/>
      <c r="H9" s="170"/>
      <c r="I9" s="170"/>
      <c r="J9" s="170"/>
    </row>
    <row r="10" spans="1:10" ht="15" customHeight="1">
      <c r="A10" s="164"/>
      <c r="B10" s="124"/>
      <c r="C10" s="1"/>
      <c r="E10" s="170"/>
      <c r="F10" s="170"/>
      <c r="G10" s="170"/>
      <c r="H10" s="170"/>
      <c r="I10" s="170"/>
      <c r="J10" s="170"/>
    </row>
    <row r="11" spans="1:10" ht="15" customHeight="1">
      <c r="A11" s="164"/>
      <c r="B11" s="124" t="s">
        <v>132</v>
      </c>
      <c r="C11" s="1">
        <v>6</v>
      </c>
      <c r="D11" s="171">
        <v>1</v>
      </c>
      <c r="E11" s="170"/>
      <c r="F11" s="170"/>
      <c r="G11" s="170"/>
      <c r="H11" s="170"/>
      <c r="I11" s="170"/>
      <c r="J11" s="170"/>
    </row>
    <row r="12" spans="1:10" ht="15" customHeight="1">
      <c r="A12" s="164"/>
      <c r="B12" s="124"/>
      <c r="C12" s="1"/>
      <c r="E12" s="170"/>
      <c r="F12" s="170"/>
      <c r="G12" s="170"/>
      <c r="H12" s="170"/>
      <c r="I12" s="170"/>
      <c r="J12" s="170"/>
    </row>
    <row r="13" spans="1:10" ht="15" customHeight="1">
      <c r="A13" s="164"/>
      <c r="B13" s="124" t="s">
        <v>133</v>
      </c>
      <c r="C13" s="171">
        <v>1</v>
      </c>
      <c r="E13" s="170"/>
      <c r="F13" s="170"/>
      <c r="G13" s="170"/>
      <c r="H13" s="170"/>
      <c r="I13" s="170"/>
      <c r="J13" s="170"/>
    </row>
    <row r="14" spans="1:10" ht="15" customHeight="1">
      <c r="A14" s="164"/>
      <c r="B14" s="124"/>
      <c r="E14" s="170"/>
      <c r="F14" s="170"/>
      <c r="G14" s="170"/>
      <c r="H14" s="170"/>
      <c r="I14" s="170"/>
      <c r="J14" s="170"/>
    </row>
    <row r="15" spans="1:10" ht="25.5" customHeight="1">
      <c r="A15" s="164"/>
      <c r="B15" s="251" t="s">
        <v>329</v>
      </c>
      <c r="C15" s="251"/>
      <c r="E15" s="170"/>
      <c r="F15" s="170"/>
      <c r="G15" s="170"/>
      <c r="H15" s="170"/>
      <c r="I15" s="170"/>
      <c r="J15" s="170"/>
    </row>
    <row r="16" spans="1:10" ht="12.75">
      <c r="A16" s="164"/>
      <c r="B16" s="200"/>
      <c r="C16" s="201" t="s">
        <v>134</v>
      </c>
      <c r="D16" s="201" t="s">
        <v>135</v>
      </c>
      <c r="E16" s="202" t="s">
        <v>136</v>
      </c>
      <c r="F16" s="170"/>
      <c r="G16" s="170"/>
      <c r="H16" s="170"/>
      <c r="I16" s="170"/>
      <c r="J16" s="170"/>
    </row>
    <row r="17" spans="1:10" ht="15" customHeight="1">
      <c r="A17" s="164"/>
      <c r="B17" s="191" t="s">
        <v>137</v>
      </c>
      <c r="C17" s="201">
        <f>VLOOKUP($C$9,Daten!$C$2:$I$17,2)</f>
        <v>14</v>
      </c>
      <c r="D17" s="208">
        <v>18</v>
      </c>
      <c r="E17" s="202">
        <f>$D$17+VLOOKUP($C$7,Daten!$C$33:$D$39,2)</f>
        <v>18</v>
      </c>
      <c r="F17" s="170"/>
      <c r="G17" s="170"/>
      <c r="H17" s="170"/>
      <c r="I17" s="170"/>
      <c r="J17" s="170"/>
    </row>
    <row r="18" spans="1:10" ht="15" customHeight="1">
      <c r="A18" s="164"/>
      <c r="B18" s="192" t="s">
        <v>138</v>
      </c>
      <c r="C18" s="188">
        <f>VLOOKUP($C$9,Daten!$C$2:$I$17,3)</f>
        <v>1</v>
      </c>
      <c r="D18" s="203">
        <v>14</v>
      </c>
      <c r="E18" s="204">
        <f>$D$18+VLOOKUP($C$7,Daten!$C$33:$E$39,3)</f>
        <v>14</v>
      </c>
      <c r="F18" s="170"/>
      <c r="G18" s="170"/>
      <c r="H18" s="170"/>
      <c r="I18" s="170"/>
      <c r="J18" s="170"/>
    </row>
    <row r="19" spans="1:10" ht="15" customHeight="1">
      <c r="A19" s="164"/>
      <c r="B19" s="192" t="s">
        <v>139</v>
      </c>
      <c r="C19" s="188">
        <f>VLOOKUP($C$9,Daten!$C$2:$I$17,4)</f>
        <v>17</v>
      </c>
      <c r="D19" s="203">
        <v>20</v>
      </c>
      <c r="E19" s="204">
        <f>$D$19+VLOOKUP($C$7,Daten!$C$33:$G$39,4)</f>
        <v>20</v>
      </c>
      <c r="F19" s="170"/>
      <c r="G19" s="170"/>
      <c r="H19" s="170"/>
      <c r="I19" s="170"/>
      <c r="J19" s="170"/>
    </row>
    <row r="20" spans="1:10" ht="15" customHeight="1">
      <c r="A20" s="164"/>
      <c r="B20" s="192" t="s">
        <v>140</v>
      </c>
      <c r="C20" s="188">
        <f>VLOOKUP($C$9,Daten!$C$2:$I$17,5)</f>
        <v>1</v>
      </c>
      <c r="D20" s="203">
        <v>12</v>
      </c>
      <c r="E20" s="204">
        <f>$D$20+VLOOKUP($C$7,Daten!$C$33:$G$39,5)</f>
        <v>12</v>
      </c>
      <c r="F20" s="170"/>
      <c r="G20" s="170"/>
      <c r="H20" s="170"/>
      <c r="I20" s="170"/>
      <c r="J20" s="170"/>
    </row>
    <row r="21" spans="1:10" ht="15" customHeight="1">
      <c r="A21" s="164"/>
      <c r="B21" s="192" t="s">
        <v>141</v>
      </c>
      <c r="C21" s="188">
        <f>VLOOKUP($C$9,Daten!$C$2:$I$17,6)</f>
        <v>1</v>
      </c>
      <c r="D21" s="203">
        <v>10</v>
      </c>
      <c r="E21" s="204">
        <f>$D$21+VLOOKUP($C$7,Daten!$C$33:$I$39,6)</f>
        <v>10</v>
      </c>
      <c r="F21" s="170"/>
      <c r="G21" s="170"/>
      <c r="H21" s="170"/>
      <c r="I21" s="170"/>
      <c r="J21" s="170"/>
    </row>
    <row r="22" spans="1:10" ht="15" customHeight="1">
      <c r="A22" s="164"/>
      <c r="B22" s="193" t="s">
        <v>142</v>
      </c>
      <c r="C22" s="205">
        <f>VLOOKUP($C$9,Daten!$C$2:$I$17,7)</f>
        <v>1</v>
      </c>
      <c r="D22" s="206">
        <v>10</v>
      </c>
      <c r="E22" s="207">
        <f>$D$22+VLOOKUP($C$7,Daten!$C$33:$I$39,7)</f>
        <v>10</v>
      </c>
      <c r="F22" s="170"/>
      <c r="G22" s="170"/>
      <c r="H22" s="170"/>
      <c r="I22" s="170"/>
      <c r="J22" s="170"/>
    </row>
    <row r="23" spans="1:10" ht="15.75" customHeight="1">
      <c r="A23" s="164"/>
      <c r="B23" s="170"/>
      <c r="C23" s="170"/>
      <c r="E23" s="170"/>
      <c r="F23" s="170"/>
      <c r="G23" s="170"/>
      <c r="H23" s="170"/>
      <c r="I23" s="170"/>
      <c r="J23" s="170"/>
    </row>
    <row r="24" spans="1:9" ht="18.75">
      <c r="A24" s="164"/>
      <c r="B24" s="167" t="s">
        <v>345</v>
      </c>
      <c r="C24" s="168"/>
      <c r="D24" s="126"/>
      <c r="E24" s="170"/>
      <c r="F24" s="170"/>
      <c r="G24" s="170"/>
      <c r="H24" s="170"/>
      <c r="I24" s="170"/>
    </row>
    <row r="25" spans="1:9" ht="12.75">
      <c r="A25" s="164"/>
      <c r="B25" s="170"/>
      <c r="C25" s="170"/>
      <c r="E25" s="170"/>
      <c r="F25" s="170"/>
      <c r="G25" s="170"/>
      <c r="H25" s="170"/>
      <c r="I25" s="170"/>
    </row>
    <row r="26" spans="1:9" ht="12.75">
      <c r="A26" s="164"/>
      <c r="B26" s="124" t="s">
        <v>143</v>
      </c>
      <c r="G26" s="170"/>
      <c r="H26" s="170"/>
      <c r="I26" s="170"/>
    </row>
    <row r="27" spans="1:9" ht="12.75">
      <c r="A27" s="164"/>
      <c r="B27" s="5">
        <f ca="1">IF($D$119=TRUE,IF($E$17=18,IF(C27=TRUE,D27,ROUND(RAND()*100,0)),0),0)</f>
        <v>84</v>
      </c>
      <c r="C27" s="3" t="b">
        <v>1</v>
      </c>
      <c r="D27" s="172">
        <v>84</v>
      </c>
      <c r="E27" s="178"/>
      <c r="G27" s="170"/>
      <c r="H27" s="170"/>
      <c r="I27" s="170"/>
    </row>
    <row r="28" spans="1:9" ht="12.75">
      <c r="A28" s="164"/>
      <c r="C28" s="170"/>
      <c r="G28" s="170"/>
      <c r="H28" s="170"/>
      <c r="I28" s="170"/>
    </row>
    <row r="29" spans="1:9" ht="18.75">
      <c r="A29" s="164"/>
      <c r="B29" s="167" t="s">
        <v>144</v>
      </c>
      <c r="C29" s="170"/>
      <c r="G29" s="170"/>
      <c r="H29" s="170"/>
      <c r="I29" s="170"/>
    </row>
    <row r="30" spans="1:9" ht="18.75">
      <c r="A30" s="164"/>
      <c r="B30" s="167"/>
      <c r="C30" s="170"/>
      <c r="G30" s="170"/>
      <c r="H30" s="170"/>
      <c r="I30" s="170"/>
    </row>
    <row r="31" spans="1:9" ht="13.5" customHeight="1">
      <c r="A31" s="164"/>
      <c r="B31" s="167"/>
      <c r="C31" s="164" t="b">
        <v>1</v>
      </c>
      <c r="G31" s="170"/>
      <c r="H31" s="170"/>
      <c r="I31" s="170"/>
    </row>
    <row r="32" spans="1:9" ht="12.75" customHeight="1">
      <c r="A32" s="164"/>
      <c r="B32" s="167"/>
      <c r="C32" s="164"/>
      <c r="G32" s="170"/>
      <c r="H32" s="170"/>
      <c r="I32" s="170"/>
    </row>
    <row r="33" spans="1:9" ht="12.75" customHeight="1">
      <c r="A33" s="164"/>
      <c r="B33" s="167"/>
      <c r="C33" s="169" t="s">
        <v>145</v>
      </c>
      <c r="D33" s="4">
        <v>32</v>
      </c>
      <c r="G33" s="170"/>
      <c r="H33" s="170"/>
      <c r="I33" s="170"/>
    </row>
    <row r="34" spans="1:9" ht="15" customHeight="1">
      <c r="A34" s="164"/>
      <c r="B34" s="167"/>
      <c r="C34" s="170"/>
      <c r="G34" s="170"/>
      <c r="H34" s="170"/>
      <c r="I34" s="170"/>
    </row>
    <row r="35" spans="2:9" ht="13.5" customHeight="1">
      <c r="B35" s="148" t="b">
        <v>0</v>
      </c>
      <c r="C35" s="124" t="s">
        <v>146</v>
      </c>
      <c r="D35" s="124" t="s">
        <v>147</v>
      </c>
      <c r="E35" s="124" t="s">
        <v>148</v>
      </c>
      <c r="F35" s="170"/>
      <c r="H35" s="170"/>
      <c r="I35" s="170"/>
    </row>
    <row r="36" spans="1:6" ht="16.5" customHeight="1">
      <c r="A36" s="3" t="b">
        <f>IF($C$31,FALSE,0)</f>
        <v>0</v>
      </c>
      <c r="B36" s="127">
        <v>1</v>
      </c>
      <c r="C36" s="124">
        <f>IF(A36&gt;0,VLOOKUP($C$9,Daten!C2:K17,8),A36)</f>
        <v>12</v>
      </c>
      <c r="D36" s="124">
        <f>IF($D$119=TRUE,VLOOKUP($E$19,Daten!$C$122:$I$146,2),VLOOKUP($E$19,Daten!$C$122:$I$146,3))</f>
        <v>5</v>
      </c>
      <c r="E36" s="124">
        <f>$C$36+$D$36</f>
        <v>17</v>
      </c>
      <c r="F36" s="170"/>
    </row>
    <row r="37" spans="1:6" ht="12.75">
      <c r="A37" s="3">
        <f aca="true" ca="1" t="shared" si="0" ref="A37:A44">IF($C$31=TRUE,ROUND(RAND(),5),0)</f>
        <v>0.42712</v>
      </c>
      <c r="B37" s="127">
        <v>2</v>
      </c>
      <c r="C37" s="124">
        <f>IF(A37=0,0,IF(A37*VLOOKUP($C$9,Daten!$C$2:$K$17,8)&gt;1,ROUND(A37*VLOOKUP($C$9,Daten!$C$2:$K$17,8),0),1))</f>
        <v>5</v>
      </c>
      <c r="D37" s="124">
        <f>IF($D$119=TRUE,VLOOKUP($E$19,Daten!$C$122:$I$146,2),VLOOKUP($E$19,Daten!$C$122:$I$146,3))</f>
        <v>5</v>
      </c>
      <c r="E37" s="124">
        <f>$E$36+$C$37+$D$37</f>
        <v>27</v>
      </c>
      <c r="F37" s="170"/>
    </row>
    <row r="38" spans="1:6" ht="12.75">
      <c r="A38" s="3">
        <f ca="1" t="shared" si="0"/>
        <v>0.91885</v>
      </c>
      <c r="B38" s="127">
        <v>3</v>
      </c>
      <c r="C38" s="124">
        <f>IF(A38=0,0,IF(A38*VLOOKUP($C$9,Daten!$C$2:$K$17,8)&gt;1,ROUND(A38*VLOOKUP($C$9,Daten!$C$2:$K$17,8),0),1))</f>
        <v>11</v>
      </c>
      <c r="D38" s="124">
        <f>IF($D$119=TRUE,VLOOKUP($E$19,Daten!$C$122:$I$146,2),VLOOKUP($E$19,Daten!$C$122:$I$146,3))</f>
        <v>5</v>
      </c>
      <c r="E38" s="124">
        <f>$E$37+$C$38+$D$38</f>
        <v>43</v>
      </c>
      <c r="F38" s="170"/>
    </row>
    <row r="39" spans="1:6" ht="12.75">
      <c r="A39" s="3">
        <f ca="1" t="shared" si="0"/>
        <v>0.21095</v>
      </c>
      <c r="B39" s="127">
        <v>4</v>
      </c>
      <c r="C39" s="124">
        <f>IF(A39=0,0,IF(A39*VLOOKUP($C$9,Daten!$C$2:$K$17,8)&gt;1,ROUND(A39*VLOOKUP($C$9,Daten!$C$2:$K$17,8),0),1))</f>
        <v>3</v>
      </c>
      <c r="D39" s="124">
        <f>IF($D$119=TRUE,VLOOKUP($E$19,Daten!$C$122:$I$146,2),VLOOKUP($E$19,Daten!$C$122:$I$146,3))</f>
        <v>5</v>
      </c>
      <c r="E39" s="124">
        <f>$E$38+$C$39+$D$39</f>
        <v>51</v>
      </c>
      <c r="F39" s="170"/>
    </row>
    <row r="40" spans="1:6" ht="12.75">
      <c r="A40" s="3">
        <f ca="1" t="shared" si="0"/>
        <v>0.972</v>
      </c>
      <c r="B40" s="127">
        <v>5</v>
      </c>
      <c r="C40" s="124">
        <f>IF(A40=0,0,IF(A40*VLOOKUP($C$9,Daten!$C$2:$K$17,8)&gt;1,ROUND(A40*VLOOKUP($C$9,Daten!$C$2:$K$17,8),0),1))</f>
        <v>12</v>
      </c>
      <c r="D40" s="124">
        <f>IF($D$119=TRUE,VLOOKUP($E$19,Daten!$C$122:$I$146,2),VLOOKUP($E$19,Daten!$C$122:$I$146,3))</f>
        <v>5</v>
      </c>
      <c r="E40" s="124">
        <f>$E$39+$C$40+$D$40</f>
        <v>68</v>
      </c>
      <c r="F40" s="170"/>
    </row>
    <row r="41" spans="1:6" ht="12.75">
      <c r="A41" s="3">
        <f ca="1" t="shared" si="0"/>
        <v>0.20047</v>
      </c>
      <c r="B41" s="127">
        <v>6</v>
      </c>
      <c r="C41" s="124">
        <f>IF(A41=0,0,IF(A41*VLOOKUP($C$9,Daten!$C$2:$K$17,8)&gt;1,ROUND(A41*VLOOKUP($C$9,Daten!$C$2:$K$17,8),0),1))</f>
        <v>2</v>
      </c>
      <c r="D41" s="124">
        <f>IF($D$119=TRUE,VLOOKUP($E$19,Daten!$C$122:$I$146,2),VLOOKUP($E$19,Daten!$C$122:$I$146,3))</f>
        <v>5</v>
      </c>
      <c r="E41" s="124">
        <f>$E$40+$C$41+$D$41</f>
        <v>75</v>
      </c>
      <c r="F41" s="170"/>
    </row>
    <row r="42" spans="1:6" ht="12.75">
      <c r="A42" s="3">
        <f ca="1" t="shared" si="0"/>
        <v>0.00563</v>
      </c>
      <c r="B42" s="127">
        <v>7</v>
      </c>
      <c r="C42" s="124">
        <f>IF(A42=0,0,IF(A42*VLOOKUP($C$9,Daten!$C$2:$K$17,8)&gt;1,ROUND(A42*VLOOKUP($C$9,Daten!$C$2:$K$17,8),0),1))</f>
        <v>1</v>
      </c>
      <c r="D42" s="124">
        <f>IF($D$119=TRUE,VLOOKUP($E$19,Daten!$C$122:$I$146,2),VLOOKUP($E$19,Daten!$C$122:$I$146,3))</f>
        <v>5</v>
      </c>
      <c r="E42" s="124">
        <f>$E$41+$C$42+$D$42</f>
        <v>81</v>
      </c>
      <c r="F42" s="170"/>
    </row>
    <row r="43" spans="1:6" ht="12.75">
      <c r="A43" s="3">
        <f ca="1" t="shared" si="0"/>
        <v>0.47363</v>
      </c>
      <c r="B43" s="127">
        <v>8</v>
      </c>
      <c r="C43" s="124">
        <f>IF(A43=0,0,IF(A43*VLOOKUP($C$9,Daten!$C$2:$K$17,8)&gt;1,ROUND(A43*VLOOKUP($C$9,Daten!$C$2:$K$17,8),0),1))</f>
        <v>6</v>
      </c>
      <c r="D43" s="124">
        <f>IF($D$119=TRUE,VLOOKUP($E$19,Daten!$C$122:$I$146,2),VLOOKUP($E$19,Daten!$C$122:$I$146,3))</f>
        <v>5</v>
      </c>
      <c r="E43" s="124">
        <f>$E$42+$C$43+$D$43</f>
        <v>92</v>
      </c>
      <c r="F43" s="170"/>
    </row>
    <row r="44" spans="1:6" ht="12.75">
      <c r="A44" s="3">
        <f ca="1" t="shared" si="0"/>
        <v>0.6938</v>
      </c>
      <c r="B44" s="127">
        <v>9</v>
      </c>
      <c r="C44" s="124">
        <f>IF(A44=0,0,IF(A44*VLOOKUP($C$9,Daten!$C$2:$K$17,8)&gt;1,ROUND(A44*VLOOKUP($C$9,Daten!$C$2:$K$17,8),0),1))</f>
        <v>8</v>
      </c>
      <c r="D44" s="124">
        <f>IF($D$119=TRUE,VLOOKUP($E$19,Daten!$C$122:$I$146,2),VLOOKUP($E$19,Daten!$C$122:$I$146,3))</f>
        <v>5</v>
      </c>
      <c r="E44" s="124">
        <f>$E$43+$C$44+$D$44</f>
        <v>105</v>
      </c>
      <c r="F44" s="170"/>
    </row>
    <row r="45" spans="1:6" ht="12.75">
      <c r="A45" s="3">
        <f aca="true" t="shared" si="1" ref="A45:A50">IF($C$31=TRUE,1,0)</f>
        <v>1</v>
      </c>
      <c r="B45" s="127">
        <v>10</v>
      </c>
      <c r="C45" s="124">
        <f>IF(A45=0,0,IF(A45*VLOOKUP($C$9,Daten!$C$2:$K$17,8)&gt;1,ROUND(A45*VLOOKUP($C$9,Daten!$C$2:$K$17,9),0),1))</f>
        <v>4</v>
      </c>
      <c r="D45" s="124">
        <f>IF($D$119=TRUE,VLOOKUP($E$19,Daten!$C$122:$I$146,2),VLOOKUP($E$19,Daten!$C$122:$I$146,3))</f>
        <v>5</v>
      </c>
      <c r="E45" s="124">
        <f>$E$44+$C$45+$D$45</f>
        <v>114</v>
      </c>
      <c r="F45" s="170"/>
    </row>
    <row r="46" spans="1:6" ht="12.75">
      <c r="A46" s="3">
        <f t="shared" si="1"/>
        <v>1</v>
      </c>
      <c r="B46" s="127">
        <v>11</v>
      </c>
      <c r="C46" s="124">
        <f>IF(A46=0,0,IF(A46*VLOOKUP($C$9,Daten!$C$2:$K$17,8)&gt;1,ROUND(A46*VLOOKUP($C$9,Daten!$C$2:$K$17,9),0),1))</f>
        <v>4</v>
      </c>
      <c r="D46" s="124">
        <f>IF($D$119=TRUE,VLOOKUP($E$19,Daten!$C$122:$I$146,2),VLOOKUP($E$19,Daten!$C$122:$I$146,3))</f>
        <v>5</v>
      </c>
      <c r="E46" s="124">
        <f>$E$45+$C$46+$D$46</f>
        <v>123</v>
      </c>
      <c r="F46" s="170"/>
    </row>
    <row r="47" spans="1:6" ht="12.75">
      <c r="A47" s="3">
        <f t="shared" si="1"/>
        <v>1</v>
      </c>
      <c r="B47" s="127">
        <v>12</v>
      </c>
      <c r="C47" s="124">
        <f>IF(A47=0,0,IF(A47*VLOOKUP($C$9,Daten!$C$2:$K$17,8)&gt;1,ROUND(A47*VLOOKUP($C$9,Daten!$C$2:$K$17,9),0),1))</f>
        <v>4</v>
      </c>
      <c r="D47" s="124">
        <f>IF($D$119=TRUE,VLOOKUP($E$19,Daten!$C$122:$I$146,2),VLOOKUP($E$19,Daten!$C$122:$I$146,3))</f>
        <v>5</v>
      </c>
      <c r="E47" s="124">
        <f>$E$46+$C$47+$D$47</f>
        <v>132</v>
      </c>
      <c r="F47" s="170"/>
    </row>
    <row r="48" spans="1:6" ht="12.75">
      <c r="A48" s="3">
        <f t="shared" si="1"/>
        <v>1</v>
      </c>
      <c r="B48" s="127">
        <v>13</v>
      </c>
      <c r="C48" s="124">
        <f>IF(A48=0,0,IF(A48*VLOOKUP($C$9,Daten!$C$2:$K$17,8)&gt;1,ROUND(A48*VLOOKUP($C$9,Daten!$C$2:$K$17,9),0),1))</f>
        <v>4</v>
      </c>
      <c r="D48" s="124">
        <f>IF($D$119=TRUE,VLOOKUP($E$19,Daten!$C$122:$I$146,2),VLOOKUP($E$19,Daten!$C$122:$I$146,3))</f>
        <v>5</v>
      </c>
      <c r="E48" s="124">
        <f>$E$47+$C$48+$D$48</f>
        <v>141</v>
      </c>
      <c r="F48" s="170"/>
    </row>
    <row r="49" spans="1:6" ht="12.75">
      <c r="A49" s="3">
        <f t="shared" si="1"/>
        <v>1</v>
      </c>
      <c r="B49" s="127">
        <v>14</v>
      </c>
      <c r="C49" s="124">
        <f>IF(A49=0,0,IF(A49*VLOOKUP($C$9,Daten!$C$2:$K$17,8)&gt;1,ROUND(A49*VLOOKUP($C$9,Daten!$C$2:$K$17,9),0),1))</f>
        <v>4</v>
      </c>
      <c r="D49" s="124">
        <f>IF($D$119=TRUE,VLOOKUP($E$19,Daten!$C$122:$I$146,2),VLOOKUP($E$19,Daten!$C$122:$I$146,3))</f>
        <v>5</v>
      </c>
      <c r="E49" s="124">
        <f>$E$48+$C$49+$D$49</f>
        <v>150</v>
      </c>
      <c r="F49" s="170"/>
    </row>
    <row r="50" spans="1:6" ht="12.75">
      <c r="A50" s="3">
        <f t="shared" si="1"/>
        <v>1</v>
      </c>
      <c r="B50" s="127">
        <v>15</v>
      </c>
      <c r="C50" s="124">
        <f>IF(A50=0,0,IF(A50*VLOOKUP($C$9,Daten!$C$2:$K$17,8)&gt;1,ROUND(A50*VLOOKUP($C$9,Daten!$C$2:$K$17,9),0),1))</f>
        <v>4</v>
      </c>
      <c r="D50" s="124">
        <f>IF($D$119=TRUE,VLOOKUP($E$19,Daten!$C$122:$I$146,2),VLOOKUP($E$19,Daten!$C$122:$I$146,3))</f>
        <v>5</v>
      </c>
      <c r="E50" s="124">
        <f>$E$49+$C$50+$D$50</f>
        <v>159</v>
      </c>
      <c r="F50" s="170"/>
    </row>
    <row r="51" ht="12.75"/>
    <row r="52" spans="2:4" ht="22.5" customHeight="1">
      <c r="B52" s="251" t="s">
        <v>328</v>
      </c>
      <c r="C52" s="251"/>
      <c r="D52" s="171"/>
    </row>
    <row r="53" spans="3:4" ht="12.75">
      <c r="C53" s="171"/>
      <c r="D53" s="171"/>
    </row>
    <row r="54" spans="2:4" ht="12.75">
      <c r="B54" s="2" t="s">
        <v>273</v>
      </c>
      <c r="C54" s="173">
        <v>6</v>
      </c>
      <c r="D54" s="171"/>
    </row>
    <row r="55" spans="2:4" ht="15.75" customHeight="1">
      <c r="B55" s="2" t="s">
        <v>274</v>
      </c>
      <c r="C55" s="171">
        <v>1</v>
      </c>
      <c r="D55" s="171"/>
    </row>
    <row r="56" spans="2:4" ht="15.75" customHeight="1">
      <c r="B56" s="2" t="s">
        <v>275</v>
      </c>
      <c r="C56" s="171">
        <v>1</v>
      </c>
      <c r="D56" s="171"/>
    </row>
    <row r="57" spans="2:4" ht="16.5" customHeight="1">
      <c r="B57" s="2" t="s">
        <v>274</v>
      </c>
      <c r="C57" s="171">
        <v>0</v>
      </c>
      <c r="D57" s="171"/>
    </row>
    <row r="58" spans="2:4" ht="15.75" customHeight="1">
      <c r="B58" s="2" t="s">
        <v>312</v>
      </c>
      <c r="C58" s="171">
        <v>1</v>
      </c>
      <c r="D58" s="171"/>
    </row>
    <row r="59" spans="3:4" ht="16.5" customHeight="1">
      <c r="C59" s="171"/>
      <c r="D59" s="171"/>
    </row>
    <row r="60" spans="2:5" ht="15.75" customHeight="1">
      <c r="B60" s="171"/>
      <c r="C60" s="171"/>
      <c r="D60" s="171"/>
      <c r="E60" s="171"/>
    </row>
    <row r="61" spans="2:6" ht="18" customHeight="1">
      <c r="B61" s="142" t="s">
        <v>149</v>
      </c>
      <c r="C61" s="171">
        <v>15</v>
      </c>
      <c r="D61" s="171"/>
      <c r="E61" s="171" t="s">
        <v>150</v>
      </c>
      <c r="F61" s="2">
        <v>2</v>
      </c>
    </row>
    <row r="62" spans="2:6" ht="18" customHeight="1">
      <c r="B62" s="142" t="s">
        <v>149</v>
      </c>
      <c r="C62" s="171">
        <v>1</v>
      </c>
      <c r="D62" s="171"/>
      <c r="E62" s="171" t="s">
        <v>150</v>
      </c>
      <c r="F62" s="2">
        <v>1</v>
      </c>
    </row>
    <row r="63" spans="2:6" ht="18" customHeight="1">
      <c r="B63" s="142" t="s">
        <v>149</v>
      </c>
      <c r="C63" s="171">
        <v>1</v>
      </c>
      <c r="D63" s="171"/>
      <c r="E63" s="171" t="s">
        <v>150</v>
      </c>
      <c r="F63" s="2">
        <v>1</v>
      </c>
    </row>
    <row r="64" spans="2:6" ht="18" customHeight="1">
      <c r="B64" s="142" t="s">
        <v>149</v>
      </c>
      <c r="C64" s="171">
        <v>1</v>
      </c>
      <c r="D64" s="171"/>
      <c r="E64" s="171" t="s">
        <v>150</v>
      </c>
      <c r="F64" s="2">
        <v>1</v>
      </c>
    </row>
    <row r="65" spans="2:6" ht="18" customHeight="1">
      <c r="B65" s="142" t="s">
        <v>149</v>
      </c>
      <c r="C65" s="171">
        <v>1</v>
      </c>
      <c r="D65" s="171"/>
      <c r="E65" s="171" t="s">
        <v>150</v>
      </c>
      <c r="F65" s="2">
        <v>1</v>
      </c>
    </row>
    <row r="66" spans="2:5" ht="18" customHeight="1">
      <c r="B66" s="171"/>
      <c r="C66" s="171"/>
      <c r="D66" s="171"/>
      <c r="E66" s="171"/>
    </row>
    <row r="67" spans="2:7" ht="12.75">
      <c r="B67" s="171"/>
      <c r="C67" s="171"/>
      <c r="E67" s="227" t="s">
        <v>443</v>
      </c>
      <c r="F67" s="227" t="s">
        <v>444</v>
      </c>
      <c r="G67" s="228" t="s">
        <v>206</v>
      </c>
    </row>
    <row r="68" spans="2:7" ht="16.5" customHeight="1">
      <c r="B68" s="174" t="s">
        <v>288</v>
      </c>
      <c r="C68" s="175">
        <v>1</v>
      </c>
      <c r="E68" s="171" t="str">
        <f>VLOOKUP($C$68,Daten!$A$388:$F$433,3)</f>
        <v>1W8</v>
      </c>
      <c r="F68" s="171" t="str">
        <f>VLOOKUP($C$68,Daten!$A$388:$F$433,4)</f>
        <v>1w12</v>
      </c>
      <c r="G68" s="2">
        <f>VLOOKUP($C$68,Daten!$A$388:$F$433,6)</f>
        <v>7</v>
      </c>
    </row>
    <row r="69" spans="2:5" ht="16.5" customHeight="1">
      <c r="B69" s="171" t="s">
        <v>274</v>
      </c>
      <c r="C69" s="171">
        <v>1</v>
      </c>
      <c r="D69" s="171"/>
      <c r="E69" s="171"/>
    </row>
    <row r="70" spans="2:5" ht="15.75" customHeight="1">
      <c r="B70" s="171" t="s">
        <v>301</v>
      </c>
      <c r="C70" s="171">
        <v>4</v>
      </c>
      <c r="D70" s="171"/>
      <c r="E70" s="171"/>
    </row>
    <row r="71" spans="2:5" ht="15.75" customHeight="1">
      <c r="B71" s="171"/>
      <c r="C71" s="171"/>
      <c r="D71" s="171"/>
      <c r="E71" s="171"/>
    </row>
    <row r="72" spans="2:7" ht="16.5" customHeight="1">
      <c r="B72" s="174" t="s">
        <v>289</v>
      </c>
      <c r="C72" s="171">
        <v>18</v>
      </c>
      <c r="D72" s="171"/>
      <c r="E72" s="171" t="str">
        <f>IF($C$72=1,"-",VLOOKUP($C$72-1,Daten!$A$388:$F$433,3))</f>
        <v>1w6</v>
      </c>
      <c r="F72" s="171" t="str">
        <f>IF($C$72=1,"-",VLOOKUP($C$72-1,Daten!$A$388:$F$433,4))</f>
        <v>1w3</v>
      </c>
      <c r="G72" s="2">
        <f>IF($C$72=1,"-",VLOOKUP($C$72-1,Daten!$A$388:$F$433,6))</f>
        <v>4</v>
      </c>
    </row>
    <row r="73" spans="2:5" ht="16.5" customHeight="1">
      <c r="B73" s="171" t="s">
        <v>290</v>
      </c>
      <c r="C73" s="171">
        <v>0</v>
      </c>
      <c r="D73" s="171"/>
      <c r="E73" s="171"/>
    </row>
    <row r="74" spans="2:5" ht="15.75" customHeight="1">
      <c r="B74" s="171" t="s">
        <v>301</v>
      </c>
      <c r="C74" s="171">
        <v>4</v>
      </c>
      <c r="D74" s="171"/>
      <c r="E74" s="171"/>
    </row>
    <row r="75" spans="2:5" ht="16.5" customHeight="1">
      <c r="B75" s="171"/>
      <c r="C75" s="171"/>
      <c r="D75" s="171"/>
      <c r="E75" s="171"/>
    </row>
    <row r="76" spans="2:7" ht="16.5" customHeight="1">
      <c r="B76" s="174" t="s">
        <v>291</v>
      </c>
      <c r="C76" s="171">
        <v>1</v>
      </c>
      <c r="D76" s="171"/>
      <c r="E76" s="171" t="str">
        <f>IF($C$76=1,"-",VLOOKUP($C$76-1,Daten!$A$388:$F$433,3))</f>
        <v>-</v>
      </c>
      <c r="F76" s="171" t="str">
        <f>IF(C76=1,"-",VLOOKUP($C$76-1,Daten!$A$388:$F$433,4))</f>
        <v>-</v>
      </c>
      <c r="G76" s="2" t="str">
        <f>IF(C76=1,"-",VLOOKUP($C$76-1,Daten!$A$388:$F$433,6))</f>
        <v>-</v>
      </c>
    </row>
    <row r="77" spans="2:5" ht="16.5" customHeight="1">
      <c r="B77" s="171" t="s">
        <v>290</v>
      </c>
      <c r="C77" s="171">
        <v>0</v>
      </c>
      <c r="D77" s="171"/>
      <c r="E77" s="171"/>
    </row>
    <row r="78" spans="2:5" ht="15" customHeight="1">
      <c r="B78" s="171" t="s">
        <v>301</v>
      </c>
      <c r="C78" s="171">
        <v>1</v>
      </c>
      <c r="D78" s="171"/>
      <c r="E78" s="171"/>
    </row>
    <row r="79" spans="2:5" ht="17.25" customHeight="1">
      <c r="B79" s="171"/>
      <c r="C79" s="171"/>
      <c r="D79" s="171"/>
      <c r="E79" s="171"/>
    </row>
    <row r="80" spans="2:3" ht="23.25" customHeight="1">
      <c r="B80" s="251" t="s">
        <v>330</v>
      </c>
      <c r="C80" s="251"/>
    </row>
    <row r="81" spans="2:5" ht="24" customHeight="1">
      <c r="B81" s="171"/>
      <c r="C81" s="171"/>
      <c r="D81" s="171"/>
      <c r="E81" s="171"/>
    </row>
    <row r="82" spans="2:5" ht="20.25" customHeight="1">
      <c r="B82" s="171" t="b">
        <v>1</v>
      </c>
      <c r="C82" s="171" t="s">
        <v>376</v>
      </c>
      <c r="D82" s="171" t="b">
        <v>0</v>
      </c>
      <c r="E82" s="171" t="s">
        <v>339</v>
      </c>
    </row>
    <row r="83" spans="2:5" ht="18.75" customHeight="1">
      <c r="B83" s="171" t="b">
        <v>1</v>
      </c>
      <c r="C83" s="171" t="s">
        <v>381</v>
      </c>
      <c r="D83" s="171" t="b">
        <v>0</v>
      </c>
      <c r="E83" s="171" t="s">
        <v>377</v>
      </c>
    </row>
    <row r="84" spans="2:5" ht="18.75" customHeight="1">
      <c r="B84" s="171" t="b">
        <v>0</v>
      </c>
      <c r="C84" s="171" t="s">
        <v>332</v>
      </c>
      <c r="D84" s="171" t="b">
        <v>0</v>
      </c>
      <c r="E84" s="171" t="s">
        <v>378</v>
      </c>
    </row>
    <row r="85" spans="2:5" ht="18.75" customHeight="1">
      <c r="B85" s="171" t="b">
        <v>0</v>
      </c>
      <c r="C85" s="171" t="s">
        <v>331</v>
      </c>
      <c r="D85" s="171" t="b">
        <v>0</v>
      </c>
      <c r="E85" s="171" t="s">
        <v>379</v>
      </c>
    </row>
    <row r="86" spans="2:5" ht="18.75" customHeight="1">
      <c r="B86" s="171" t="b">
        <v>0</v>
      </c>
      <c r="C86" s="171" t="s">
        <v>333</v>
      </c>
      <c r="D86" s="171" t="b">
        <v>0</v>
      </c>
      <c r="E86" s="171" t="s">
        <v>380</v>
      </c>
    </row>
    <row r="87" spans="2:5" ht="18.75" customHeight="1">
      <c r="B87" s="171" t="b">
        <v>1</v>
      </c>
      <c r="C87" s="171" t="s">
        <v>378</v>
      </c>
      <c r="D87" s="171" t="b">
        <v>1</v>
      </c>
      <c r="E87" s="171" t="s">
        <v>379</v>
      </c>
    </row>
    <row r="88" spans="2:5" ht="18.75" customHeight="1">
      <c r="B88" s="171" t="b">
        <v>0</v>
      </c>
      <c r="C88" s="171" t="s">
        <v>334</v>
      </c>
      <c r="D88" s="171" t="b">
        <v>1</v>
      </c>
      <c r="E88" s="171" t="s">
        <v>378</v>
      </c>
    </row>
    <row r="89" spans="2:5" ht="18.75" customHeight="1">
      <c r="B89" s="171" t="b">
        <v>0</v>
      </c>
      <c r="C89" s="171" t="s">
        <v>335</v>
      </c>
      <c r="D89" s="171" t="b">
        <v>0</v>
      </c>
      <c r="E89" s="171" t="s">
        <v>382</v>
      </c>
    </row>
    <row r="90" spans="2:5" ht="18.75" customHeight="1">
      <c r="B90" s="171" t="b">
        <v>0</v>
      </c>
      <c r="C90" s="171" t="s">
        <v>336</v>
      </c>
      <c r="D90" s="171" t="b">
        <v>0</v>
      </c>
      <c r="E90" s="171" t="s">
        <v>383</v>
      </c>
    </row>
    <row r="91" spans="2:5" ht="18.75" customHeight="1">
      <c r="B91" s="171" t="b">
        <v>0</v>
      </c>
      <c r="C91" s="171" t="s">
        <v>337</v>
      </c>
      <c r="D91" s="171" t="b">
        <v>0</v>
      </c>
      <c r="E91" s="171" t="s">
        <v>384</v>
      </c>
    </row>
    <row r="92" spans="2:5" ht="18.75" customHeight="1">
      <c r="B92" s="171" t="b">
        <v>0</v>
      </c>
      <c r="C92" s="171" t="s">
        <v>373</v>
      </c>
      <c r="D92" s="171" t="b">
        <v>1</v>
      </c>
      <c r="E92" s="171" t="s">
        <v>378</v>
      </c>
    </row>
    <row r="93" spans="2:5" ht="18.75" customHeight="1">
      <c r="B93" s="171" t="b">
        <v>0</v>
      </c>
      <c r="C93" s="171" t="s">
        <v>374</v>
      </c>
      <c r="D93" s="171" t="b">
        <v>1</v>
      </c>
      <c r="E93" s="171" t="s">
        <v>378</v>
      </c>
    </row>
    <row r="94" spans="2:7" ht="18.75" customHeight="1">
      <c r="B94" s="171" t="b">
        <v>0</v>
      </c>
      <c r="C94" s="171" t="s">
        <v>375</v>
      </c>
      <c r="D94" s="171" t="b">
        <v>0</v>
      </c>
      <c r="E94" s="171" t="s">
        <v>385</v>
      </c>
      <c r="F94" s="256" t="s">
        <v>495</v>
      </c>
      <c r="G94" s="256"/>
    </row>
    <row r="95" spans="2:5" ht="18.75" customHeight="1">
      <c r="B95" s="171" t="b">
        <v>0</v>
      </c>
      <c r="C95" s="171" t="s">
        <v>376</v>
      </c>
      <c r="D95" s="171" t="b">
        <v>1</v>
      </c>
      <c r="E95" s="171" t="s">
        <v>377</v>
      </c>
    </row>
    <row r="96" spans="2:7" ht="18.75" customHeight="1">
      <c r="B96" s="171" t="s">
        <v>498</v>
      </c>
      <c r="C96" s="171" t="s">
        <v>378</v>
      </c>
      <c r="D96" s="171" t="s">
        <v>64</v>
      </c>
      <c r="E96" s="171" t="s">
        <v>64</v>
      </c>
      <c r="F96" s="2" t="s">
        <v>64</v>
      </c>
      <c r="G96" s="2" t="s">
        <v>64</v>
      </c>
    </row>
    <row r="97" spans="2:7" ht="18.75" customHeight="1">
      <c r="B97" s="171" t="s">
        <v>499</v>
      </c>
      <c r="C97" s="171" t="s">
        <v>339</v>
      </c>
      <c r="D97" s="171" t="s">
        <v>64</v>
      </c>
      <c r="E97" s="171" t="s">
        <v>64</v>
      </c>
      <c r="F97" s="2" t="s">
        <v>64</v>
      </c>
      <c r="G97" s="2" t="s">
        <v>64</v>
      </c>
    </row>
    <row r="98" spans="2:7" ht="18.75" customHeight="1">
      <c r="B98" s="250" t="s">
        <v>344</v>
      </c>
      <c r="C98" s="250"/>
      <c r="D98" s="171"/>
      <c r="E98" s="209"/>
      <c r="F98" s="171"/>
      <c r="G98" s="171"/>
    </row>
    <row r="99" spans="2:3" ht="24" customHeight="1">
      <c r="B99" s="251" t="s">
        <v>343</v>
      </c>
      <c r="C99" s="251"/>
    </row>
    <row r="100" spans="2:7" ht="24" customHeight="1">
      <c r="B100" s="250" t="s">
        <v>344</v>
      </c>
      <c r="C100" s="250"/>
      <c r="D100" s="171"/>
      <c r="E100" s="209"/>
      <c r="F100" s="171"/>
      <c r="G100" s="171"/>
    </row>
    <row r="101" spans="1:7" ht="18.75" customHeight="1">
      <c r="A101" s="142" t="s">
        <v>207</v>
      </c>
      <c r="B101" s="210" t="s">
        <v>344</v>
      </c>
      <c r="C101" s="211"/>
      <c r="D101" s="171" t="s">
        <v>213</v>
      </c>
      <c r="E101" s="209" t="s">
        <v>344</v>
      </c>
      <c r="F101" s="171"/>
      <c r="G101" s="171"/>
    </row>
    <row r="102" spans="1:7" ht="18.75" customHeight="1">
      <c r="A102" s="142" t="s">
        <v>210</v>
      </c>
      <c r="B102" s="212" t="s">
        <v>344</v>
      </c>
      <c r="C102" s="213"/>
      <c r="D102" s="171" t="s">
        <v>215</v>
      </c>
      <c r="E102" s="209" t="s">
        <v>344</v>
      </c>
      <c r="F102" s="171"/>
      <c r="G102" s="171"/>
    </row>
    <row r="103" spans="1:7" ht="18.75" customHeight="1">
      <c r="A103" s="142" t="s">
        <v>212</v>
      </c>
      <c r="B103" s="212" t="s">
        <v>344</v>
      </c>
      <c r="C103" s="213"/>
      <c r="D103" s="171" t="s">
        <v>209</v>
      </c>
      <c r="E103" s="209" t="s">
        <v>344</v>
      </c>
      <c r="F103" s="171"/>
      <c r="G103" s="171"/>
    </row>
    <row r="104" spans="1:7" ht="18.75" customHeight="1">
      <c r="A104" s="142" t="s">
        <v>214</v>
      </c>
      <c r="B104" s="212" t="s">
        <v>344</v>
      </c>
      <c r="C104" s="213"/>
      <c r="D104" s="171" t="s">
        <v>216</v>
      </c>
      <c r="E104" s="209" t="s">
        <v>344</v>
      </c>
      <c r="F104" s="171"/>
      <c r="G104" s="171"/>
    </row>
    <row r="105" spans="1:7" ht="18.75" customHeight="1">
      <c r="A105" s="142" t="s">
        <v>208</v>
      </c>
      <c r="B105" s="212" t="s">
        <v>344</v>
      </c>
      <c r="C105" s="213"/>
      <c r="D105" s="171" t="s">
        <v>326</v>
      </c>
      <c r="E105" s="209" t="s">
        <v>344</v>
      </c>
      <c r="F105" s="171"/>
      <c r="G105" s="171"/>
    </row>
    <row r="106" spans="1:7" ht="18.75" customHeight="1">
      <c r="A106" s="142" t="s">
        <v>211</v>
      </c>
      <c r="B106" s="214" t="s">
        <v>344</v>
      </c>
      <c r="C106" s="215"/>
      <c r="D106" s="171" t="s">
        <v>327</v>
      </c>
      <c r="E106" s="209" t="s">
        <v>344</v>
      </c>
      <c r="F106" s="171"/>
      <c r="G106" s="171"/>
    </row>
    <row r="107" spans="2:7" ht="18.75" customHeight="1">
      <c r="B107" s="216"/>
      <c r="C107" s="216"/>
      <c r="D107" s="171"/>
      <c r="E107" s="171"/>
      <c r="F107" s="217"/>
      <c r="G107" s="171"/>
    </row>
    <row r="108" spans="2:7" ht="18.75" customHeight="1">
      <c r="B108" s="250" t="s">
        <v>344</v>
      </c>
      <c r="C108" s="250"/>
      <c r="D108" s="171"/>
      <c r="E108" s="209"/>
      <c r="F108" s="171"/>
      <c r="G108" s="171"/>
    </row>
    <row r="109" spans="2:3" ht="25.5" customHeight="1">
      <c r="B109" s="251" t="s">
        <v>453</v>
      </c>
      <c r="C109" s="251"/>
    </row>
    <row r="110" spans="2:3" ht="21.75" customHeight="1">
      <c r="B110" s="230" t="s">
        <v>454</v>
      </c>
      <c r="C110" s="180">
        <v>6</v>
      </c>
    </row>
    <row r="111" spans="2:3" ht="21.75" customHeight="1">
      <c r="B111" s="230" t="s">
        <v>455</v>
      </c>
      <c r="C111" s="180">
        <v>6</v>
      </c>
    </row>
    <row r="112" spans="2:3" ht="21.75" customHeight="1">
      <c r="B112" s="230" t="s">
        <v>73</v>
      </c>
      <c r="C112" s="180">
        <v>6</v>
      </c>
    </row>
    <row r="113" spans="2:3" ht="20.25" customHeight="1">
      <c r="B113" s="230" t="s">
        <v>456</v>
      </c>
      <c r="C113" s="180">
        <v>1</v>
      </c>
    </row>
    <row r="114" spans="2:3" ht="18" customHeight="1">
      <c r="B114" s="180"/>
      <c r="C114" s="180"/>
    </row>
    <row r="115" spans="2:3" ht="18" customHeight="1">
      <c r="B115" s="180"/>
      <c r="C115" s="180"/>
    </row>
    <row r="116" spans="2:3" ht="18" customHeight="1">
      <c r="B116" s="180"/>
      <c r="C116" s="180"/>
    </row>
    <row r="117" spans="2:7" ht="24" customHeight="1">
      <c r="B117" s="249" t="s">
        <v>344</v>
      </c>
      <c r="C117" s="249"/>
      <c r="D117" s="171"/>
      <c r="E117" s="209"/>
      <c r="F117" s="171"/>
      <c r="G117" s="171"/>
    </row>
    <row r="118" spans="2:4" ht="24" customHeight="1">
      <c r="B118" s="229">
        <f>$E$18-$C$18</f>
        <v>13</v>
      </c>
      <c r="C118" s="229">
        <f>IF($E$18&gt;25,-1,1)</f>
        <v>1</v>
      </c>
      <c r="D118" s="176" t="b">
        <f>AND(C56=1,C57&gt;0)</f>
        <v>0</v>
      </c>
    </row>
    <row r="119" spans="2:4" ht="24" customHeight="1">
      <c r="B119" s="229">
        <f>$E$19-$C$19</f>
        <v>3</v>
      </c>
      <c r="C119" s="229">
        <f>IF($E$19&gt;25,-1,1)</f>
        <v>1</v>
      </c>
      <c r="D119" s="177" t="b">
        <f>OR(Eingabe!$C$9=5,Eingabe!$C$9=6,Eingabe!$C$9=7,Eingabe!$C$9=8)</f>
        <v>1</v>
      </c>
    </row>
    <row r="120" spans="2:4" ht="24" customHeight="1">
      <c r="B120" s="229">
        <f>$E$20-$C$20</f>
        <v>11</v>
      </c>
      <c r="C120" s="229">
        <f>IF($E$20&gt;25,-1,1)</f>
        <v>1</v>
      </c>
      <c r="D120" s="178" t="b">
        <f>AND(C11&gt;6,Eingabe!D119)</f>
        <v>0</v>
      </c>
    </row>
    <row r="121" spans="2:4" ht="24" customHeight="1">
      <c r="B121" s="229">
        <f>$E$21-$C$21</f>
        <v>9</v>
      </c>
      <c r="C121" s="229">
        <f>IF($E$21&gt;25,-1,1)</f>
        <v>1</v>
      </c>
      <c r="D121" s="178" t="b">
        <f>AND(D119,C11&lt;7)</f>
        <v>1</v>
      </c>
    </row>
    <row r="122" spans="2:4" ht="24" customHeight="1">
      <c r="B122" s="229">
        <f>$E$22-$C$22</f>
        <v>9</v>
      </c>
      <c r="C122" s="229">
        <f>IF($E$22&gt;25,-1,1)</f>
        <v>1</v>
      </c>
      <c r="D122" s="178" t="b">
        <f>OR(C9=2,C9=3)</f>
        <v>0</v>
      </c>
    </row>
    <row r="123" spans="2:4" ht="18.75" customHeight="1">
      <c r="B123" s="175"/>
      <c r="C123" s="178" t="str">
        <f>IF(D27&gt;100,"FEHLER","OK")</f>
        <v>OK</v>
      </c>
      <c r="D123" s="178" t="b">
        <f>OR(C9=1,D9=2)</f>
        <v>0</v>
      </c>
    </row>
    <row r="124" spans="2:4" ht="15" customHeight="1">
      <c r="B124" s="175"/>
      <c r="C124" s="178" t="str">
        <f>IF(SUM(E36:E50)&lt;20,"PRUEFEN","OK")</f>
        <v>OK</v>
      </c>
      <c r="D124" s="178" t="b">
        <f>OR(C9=4,D9=5)</f>
        <v>0</v>
      </c>
    </row>
    <row r="125" spans="2:6" ht="15" customHeight="1">
      <c r="B125" s="175"/>
      <c r="C125" s="175"/>
      <c r="D125" s="178" t="b">
        <f>AND(Charakterbogen!O21&lt;0,Charakterbogen!E22&lt;0)</f>
        <v>0</v>
      </c>
      <c r="E125" s="171"/>
      <c r="F125" s="171"/>
    </row>
    <row r="126" spans="2:6" ht="12.75">
      <c r="B126" s="171"/>
      <c r="F126" s="171"/>
    </row>
    <row r="127" spans="2:6" ht="12.75">
      <c r="B127" s="171"/>
      <c r="F127" s="171"/>
    </row>
    <row r="128" spans="2:6" ht="12.75">
      <c r="B128" s="171"/>
      <c r="F128" s="171"/>
    </row>
    <row r="129" spans="2:6" ht="12.75">
      <c r="B129" s="171"/>
      <c r="F129" s="171"/>
    </row>
    <row r="130" spans="2:6" ht="12.75">
      <c r="B130" s="171"/>
      <c r="F130" s="171"/>
    </row>
    <row r="131" spans="2:6" ht="12.75">
      <c r="B131" s="171"/>
      <c r="F131" s="171"/>
    </row>
    <row r="132" spans="2:6" ht="12.75">
      <c r="B132" s="171"/>
      <c r="F132" s="171"/>
    </row>
    <row r="133" spans="2:6" ht="12.75">
      <c r="B133" s="171"/>
      <c r="F133" s="171"/>
    </row>
    <row r="134" spans="2:6" ht="12.75">
      <c r="B134" s="171"/>
      <c r="F134" s="171"/>
    </row>
    <row r="135" spans="2:6" ht="12.75">
      <c r="B135" s="171"/>
      <c r="F135" s="171"/>
    </row>
    <row r="136" spans="2:6" ht="12.75">
      <c r="B136" s="171"/>
      <c r="C136" s="171"/>
      <c r="D136" s="171"/>
      <c r="E136" s="171"/>
      <c r="F136" s="171"/>
    </row>
    <row r="137" spans="2:6" ht="12.75">
      <c r="B137" s="171"/>
      <c r="C137" s="171"/>
      <c r="D137" s="171"/>
      <c r="E137" s="171"/>
      <c r="F137" s="171"/>
    </row>
  </sheetData>
  <mergeCells count="13">
    <mergeCell ref="C2:D2"/>
    <mergeCell ref="C3:D3"/>
    <mergeCell ref="C4:D4"/>
    <mergeCell ref="F94:G94"/>
    <mergeCell ref="B52:C52"/>
    <mergeCell ref="B15:C15"/>
    <mergeCell ref="B80:C80"/>
    <mergeCell ref="B117:C117"/>
    <mergeCell ref="B100:C100"/>
    <mergeCell ref="B99:C99"/>
    <mergeCell ref="B98:C98"/>
    <mergeCell ref="B108:C108"/>
    <mergeCell ref="B109:C109"/>
  </mergeCells>
  <printOptions gridLines="1"/>
  <pageMargins left="0.75" right="0.75" top="1" bottom="1" header="0.4921259845" footer="0.4921259845"/>
  <pageSetup horizontalDpi="300" verticalDpi="300" orientation="portrait" paperSize="9" r:id="rId4"/>
  <headerFooter alignWithMargins="0">
    <oddHeader>&amp;C&amp;A</oddHeader>
    <oddFooter>&amp;CSeite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AM54"/>
  <sheetViews>
    <sheetView workbookViewId="0" topLeftCell="A1">
      <selection activeCell="A1" sqref="A1:IV16384"/>
    </sheetView>
  </sheetViews>
  <sheetFormatPr defaultColWidth="11.421875" defaultRowHeight="12.75"/>
  <cols>
    <col min="1" max="1" width="0.42578125" style="9" customWidth="1"/>
    <col min="2" max="4" width="3.421875" style="9" customWidth="1"/>
    <col min="5" max="5" width="3.7109375" style="9" customWidth="1"/>
    <col min="6" max="6" width="4.421875" style="9" customWidth="1"/>
    <col min="7" max="8" width="3.421875" style="9" customWidth="1"/>
    <col min="9" max="9" width="3.7109375" style="9" customWidth="1"/>
    <col min="10" max="10" width="4.00390625" style="9" customWidth="1"/>
    <col min="11" max="11" width="3.7109375" style="9" customWidth="1"/>
    <col min="12" max="12" width="3.57421875" style="9" customWidth="1"/>
    <col min="13" max="13" width="0.13671875" style="9" hidden="1" customWidth="1"/>
    <col min="14" max="14" width="3.7109375" style="9" customWidth="1"/>
    <col min="15" max="15" width="3.8515625" style="9" customWidth="1"/>
    <col min="16" max="16" width="4.28125" style="9" customWidth="1"/>
    <col min="17" max="18" width="3.7109375" style="9" customWidth="1"/>
    <col min="19" max="19" width="4.8515625" style="9" customWidth="1"/>
    <col min="20" max="20" width="3.7109375" style="9" customWidth="1"/>
    <col min="21" max="21" width="4.28125" style="9" customWidth="1"/>
    <col min="22" max="23" width="3.7109375" style="9" customWidth="1"/>
    <col min="24" max="24" width="4.00390625" style="9" customWidth="1"/>
    <col min="25" max="25" width="4.28125" style="9" customWidth="1"/>
    <col min="26" max="26" width="4.421875" style="9" customWidth="1"/>
    <col min="27" max="28" width="3.7109375" style="9" customWidth="1"/>
    <col min="29" max="16384" width="11.421875" style="9" customWidth="1"/>
  </cols>
  <sheetData>
    <row r="1" ht="0.75" customHeight="1"/>
    <row r="2" spans="2:26" ht="12.75">
      <c r="B2" s="84" t="s">
        <v>151</v>
      </c>
      <c r="C2" s="11"/>
      <c r="D2" s="11"/>
      <c r="E2" s="8" t="str">
        <f>Eingabe!C2</f>
        <v>Wulfgar</v>
      </c>
      <c r="F2" s="6"/>
      <c r="G2" s="6"/>
      <c r="H2" s="6"/>
      <c r="I2" s="6"/>
      <c r="J2" s="7"/>
      <c r="K2" s="184"/>
      <c r="L2" s="13" t="s">
        <v>152</v>
      </c>
      <c r="M2" s="11"/>
      <c r="N2" s="11"/>
      <c r="O2" s="12"/>
      <c r="P2" s="14">
        <f>Eingabe!C11</f>
        <v>6</v>
      </c>
      <c r="Q2" s="12"/>
      <c r="R2" s="130">
        <f>Eingabe!D11-1</f>
        <v>0</v>
      </c>
      <c r="S2" s="120"/>
      <c r="T2" s="10" t="s">
        <v>153</v>
      </c>
      <c r="U2" s="11"/>
      <c r="V2" s="11"/>
      <c r="W2" s="12"/>
      <c r="X2" s="15">
        <f>Eingabe!G2</f>
        <v>0</v>
      </c>
      <c r="Y2" s="16"/>
      <c r="Z2" s="17"/>
    </row>
    <row r="3" spans="2:26" ht="12.75">
      <c r="B3" s="92" t="s">
        <v>154</v>
      </c>
      <c r="C3" s="19"/>
      <c r="D3" s="20"/>
      <c r="E3" s="116" t="str">
        <f>VLOOKUP(Eingabe!$C$7,Daten!A33:B39,2)</f>
        <v>Mensch</v>
      </c>
      <c r="F3" s="6"/>
      <c r="G3" s="7"/>
      <c r="H3" s="259" t="str">
        <f>VLOOKUP(Eingabe!$C$9,Daten!$A$2:$B$17,2)</f>
        <v>Barbar</v>
      </c>
      <c r="I3" s="260"/>
      <c r="J3" s="242" t="str">
        <f>IF(Eingabe!$D$9=1,"-",VLOOKUP(Eingabe!$D$9-1,Daten!$A$1:$B$8,2))</f>
        <v>-</v>
      </c>
      <c r="K3" s="243"/>
      <c r="L3" s="21" t="s">
        <v>155</v>
      </c>
      <c r="M3" s="19"/>
      <c r="N3" s="19"/>
      <c r="O3" s="20"/>
      <c r="P3" s="118">
        <f>Eingabe!$C$5</f>
        <v>65345</v>
      </c>
      <c r="Q3" s="20"/>
      <c r="R3" s="118" t="str">
        <f>IF(R2&gt;0,Eingabe!$D$5,"-")</f>
        <v>-</v>
      </c>
      <c r="S3" s="22"/>
      <c r="T3" s="18" t="s">
        <v>156</v>
      </c>
      <c r="U3" s="19"/>
      <c r="V3" s="19"/>
      <c r="W3" s="20"/>
      <c r="X3" s="23">
        <f>Eingabe!G3</f>
        <v>0</v>
      </c>
      <c r="Y3" s="24"/>
      <c r="Z3" s="25"/>
    </row>
    <row r="4" spans="2:26" ht="12.75">
      <c r="B4" s="92" t="s">
        <v>157</v>
      </c>
      <c r="C4" s="19"/>
      <c r="D4" s="19"/>
      <c r="E4" s="8" t="str">
        <f>Eingabe!C3</f>
        <v>Tempus</v>
      </c>
      <c r="F4" s="6"/>
      <c r="G4" s="6"/>
      <c r="H4" s="6"/>
      <c r="I4" s="6"/>
      <c r="J4" s="7"/>
      <c r="K4" s="184"/>
      <c r="L4" s="21" t="s">
        <v>158</v>
      </c>
      <c r="M4" s="19"/>
      <c r="N4" s="19"/>
      <c r="O4" s="20"/>
      <c r="P4" s="131">
        <f>Daten!$B$29</f>
        <v>75000</v>
      </c>
      <c r="Q4" s="119"/>
      <c r="R4" s="131" t="str">
        <f>IF(R2&gt;0,Daten!$B$30,"-")</f>
        <v>-</v>
      </c>
      <c r="S4" s="121"/>
      <c r="T4" s="18" t="s">
        <v>159</v>
      </c>
      <c r="U4" s="19"/>
      <c r="V4" s="19"/>
      <c r="W4" s="20"/>
      <c r="X4" s="23">
        <f>Eingabe!G4</f>
        <v>0</v>
      </c>
      <c r="Y4" s="24"/>
      <c r="Z4" s="25"/>
    </row>
    <row r="5" spans="2:26" ht="12.75">
      <c r="B5" s="102" t="s">
        <v>160</v>
      </c>
      <c r="C5" s="27"/>
      <c r="D5" s="27"/>
      <c r="E5" s="8" t="str">
        <f>IF(Eingabe!C13=1,"Männl.","Weibl.")</f>
        <v>Männl.</v>
      </c>
      <c r="F5" s="6"/>
      <c r="G5" s="7"/>
      <c r="H5" s="8">
        <f>Eingabe!C4</f>
        <v>24</v>
      </c>
      <c r="I5" s="6"/>
      <c r="J5" s="7"/>
      <c r="K5" s="184"/>
      <c r="L5" s="28" t="s">
        <v>35</v>
      </c>
      <c r="M5" s="27"/>
      <c r="N5" s="27"/>
      <c r="O5" s="29"/>
      <c r="P5" s="128">
        <f>IF(Eingabe!$C$9=7,15,VLOOKUP(Eingabe!$C$7,Daten!$C$33:$K$39,9))-($Y$8/2)+Eingabe!$C$113-1</f>
        <v>15</v>
      </c>
      <c r="Q5" s="129"/>
      <c r="R5" s="185"/>
      <c r="S5" s="7"/>
      <c r="T5" s="26" t="s">
        <v>161</v>
      </c>
      <c r="U5" s="27"/>
      <c r="V5" s="27"/>
      <c r="W5" s="29"/>
      <c r="X5" s="30">
        <f>Eingabe!G5</f>
        <v>0</v>
      </c>
      <c r="Y5" s="31"/>
      <c r="Z5" s="32"/>
    </row>
    <row r="6" spans="2:8" ht="6" customHeight="1">
      <c r="B6" s="33"/>
      <c r="C6" s="33"/>
      <c r="D6" s="33"/>
      <c r="E6" s="33"/>
      <c r="F6" s="33"/>
      <c r="G6" s="33"/>
      <c r="H6" s="33"/>
    </row>
    <row r="7" spans="2:31" ht="12.75">
      <c r="B7" s="34" t="s">
        <v>0</v>
      </c>
      <c r="C7" s="35"/>
      <c r="D7" s="36"/>
      <c r="E7" s="149">
        <f>Eingabe!$D$17+VLOOKUP(Eingabe!$C$7,Daten!$C$33:$D$39,2)</f>
        <v>18</v>
      </c>
      <c r="F7" s="150">
        <f>IF(Eingabe!E17=18,IF(Eingabe!C27=TRUE,Eingabe!D27,IF(Eingabe!B27=100,"00",Eingabe!B27)),"-")</f>
        <v>84</v>
      </c>
      <c r="G7" s="37" t="s">
        <v>80</v>
      </c>
      <c r="H7" s="38">
        <f>IF(Daten!B230&gt;Daten!B231,Daten!B230,Daten!B231)</f>
        <v>2</v>
      </c>
      <c r="I7" s="39" t="s">
        <v>81</v>
      </c>
      <c r="J7" s="38">
        <f>IF(Daten!C230&gt;=Daten!C231,Daten!C230,Daten!C231)</f>
        <v>4</v>
      </c>
      <c r="K7" s="40" t="s">
        <v>162</v>
      </c>
      <c r="L7" s="40"/>
      <c r="M7" s="41"/>
      <c r="N7" s="42">
        <f>IF(Daten!D230&gt;Daten!D231,Daten!D230,Daten!D231)</f>
        <v>185</v>
      </c>
      <c r="O7" s="42"/>
      <c r="P7" s="43" t="s">
        <v>75</v>
      </c>
      <c r="Q7" s="43"/>
      <c r="R7" s="42">
        <f>IF(Daten!E230&gt;Daten!E231,Daten!E230,Daten!E231)</f>
        <v>330</v>
      </c>
      <c r="S7" s="42"/>
      <c r="T7" s="44" t="s">
        <v>163</v>
      </c>
      <c r="U7" s="41"/>
      <c r="V7" s="45">
        <f>IF(Daten!F230&gt;Daten!F231,Daten!F230,Daten!F231)</f>
        <v>14</v>
      </c>
      <c r="W7" s="44" t="s">
        <v>164</v>
      </c>
      <c r="X7" s="41"/>
      <c r="Y7" s="41"/>
      <c r="Z7" s="46">
        <f>IF(Daten!G230&gt;Daten!G231,Daten!G230,Daten!G231)</f>
        <v>30</v>
      </c>
      <c r="AB7" s="33"/>
      <c r="AC7" s="33"/>
      <c r="AD7" s="33"/>
      <c r="AE7" s="33"/>
    </row>
    <row r="8" spans="2:31" ht="12.75">
      <c r="B8" s="47" t="s">
        <v>84</v>
      </c>
      <c r="C8" s="48"/>
      <c r="D8" s="48"/>
      <c r="E8" s="151">
        <f>Eingabe!$D$18+VLOOKUP(Eingabe!$C$7,Daten!$C$33:$E$39,3)</f>
        <v>14</v>
      </c>
      <c r="F8" s="152"/>
      <c r="G8" s="49"/>
      <c r="H8" s="50" t="s">
        <v>165</v>
      </c>
      <c r="I8" s="49"/>
      <c r="J8" s="49"/>
      <c r="K8" s="49"/>
      <c r="L8" s="51">
        <f>VLOOKUP(Eingabe!E18,Daten!B236:E260,2)</f>
        <v>0</v>
      </c>
      <c r="M8" s="49"/>
      <c r="N8" s="49" t="s">
        <v>166</v>
      </c>
      <c r="O8" s="49"/>
      <c r="P8" s="49"/>
      <c r="Q8" s="49"/>
      <c r="R8" s="49"/>
      <c r="S8" s="52">
        <f>VLOOKUP(Eingabe!$E$18,Daten!$B$236:$E$260,3)</f>
        <v>0</v>
      </c>
      <c r="T8" s="49"/>
      <c r="U8" s="49" t="s">
        <v>167</v>
      </c>
      <c r="V8" s="49"/>
      <c r="W8" s="49"/>
      <c r="X8" s="49"/>
      <c r="Y8" s="53">
        <f>VLOOKUP(Eingabe!$E$18,Daten!$B$236:$E$260,4)</f>
        <v>0</v>
      </c>
      <c r="Z8" s="54"/>
      <c r="AB8" s="33"/>
      <c r="AC8" s="270"/>
      <c r="AD8" s="33"/>
      <c r="AE8" s="33"/>
    </row>
    <row r="9" spans="2:31" ht="12.75">
      <c r="B9" s="55" t="s">
        <v>63</v>
      </c>
      <c r="C9" s="56"/>
      <c r="D9" s="56"/>
      <c r="E9" s="151">
        <f>Eingabe!$D$19+VLOOKUP(Eingabe!$C$7,Daten!$C$33:$F$39,4)</f>
        <v>20</v>
      </c>
      <c r="F9" s="152"/>
      <c r="G9" s="57" t="s">
        <v>168</v>
      </c>
      <c r="H9" s="58"/>
      <c r="I9" s="58"/>
      <c r="J9" s="59">
        <f>IF(Eingabe!$D$119=TRUE,VLOOKUP(Eingabe!$E$19,Daten!$C$122:$I$146,2),VLOOKUP(Eingabe!$E$19,Daten!$C$122:$I$146,3))</f>
        <v>5</v>
      </c>
      <c r="K9" s="60" t="s">
        <v>169</v>
      </c>
      <c r="L9" s="49"/>
      <c r="M9" s="49"/>
      <c r="N9" s="49"/>
      <c r="O9" s="61">
        <f>VLOOKUP(Eingabe!$E$19,Daten!$C$122:$I$146,4)</f>
        <v>99</v>
      </c>
      <c r="P9" s="60" t="s">
        <v>170</v>
      </c>
      <c r="Q9" s="49"/>
      <c r="R9" s="49"/>
      <c r="S9" s="62">
        <f>VLOOKUP(Eingabe!$E$19,Daten!$C$122:$I$146,5)</f>
        <v>100</v>
      </c>
      <c r="T9" s="50" t="s">
        <v>171</v>
      </c>
      <c r="U9" s="49"/>
      <c r="V9" s="49"/>
      <c r="W9" s="51">
        <f>VLOOKUP(Eingabe!$E$19,Daten!$C$122:$I$146,6)</f>
        <v>1</v>
      </c>
      <c r="X9" s="60" t="s">
        <v>60</v>
      </c>
      <c r="Y9" s="49"/>
      <c r="Z9" s="63" t="str">
        <f>VLOOKUP(Eingabe!E19,Daten!C122:I146,7)</f>
        <v>1/6</v>
      </c>
      <c r="AB9" s="33"/>
      <c r="AC9" s="93"/>
      <c r="AD9" s="33"/>
      <c r="AE9" s="33"/>
    </row>
    <row r="10" spans="2:31" ht="12.75">
      <c r="B10" s="55" t="s">
        <v>172</v>
      </c>
      <c r="C10" s="56"/>
      <c r="D10" s="56"/>
      <c r="E10" s="151">
        <f>Eingabe!$D$20+VLOOKUP(Eingabe!$C$7,Daten!$C$33:$G$39,5)</f>
        <v>12</v>
      </c>
      <c r="F10" s="152"/>
      <c r="G10" s="60" t="s">
        <v>173</v>
      </c>
      <c r="H10" s="49"/>
      <c r="I10" s="49"/>
      <c r="J10" s="64">
        <f>VLOOKUP(Eingabe!E20,Daten!$B$263:$G$287,2)</f>
        <v>3</v>
      </c>
      <c r="K10" s="60" t="s">
        <v>174</v>
      </c>
      <c r="L10" s="49"/>
      <c r="M10" s="49"/>
      <c r="N10" s="49"/>
      <c r="O10" s="65" t="str">
        <f>VLOOKUP(Eingabe!E20,Daten!$B$263:$G$287,3)</f>
        <v>Sechs</v>
      </c>
      <c r="P10" s="58" t="s">
        <v>175</v>
      </c>
      <c r="Q10" s="58"/>
      <c r="R10" s="58"/>
      <c r="S10" s="62">
        <f>VLOOKUP(Eingabe!E20,Daten!$B$263:$G$287,4)</f>
        <v>50</v>
      </c>
      <c r="T10" s="58" t="s">
        <v>176</v>
      </c>
      <c r="U10" s="58"/>
      <c r="V10" s="58"/>
      <c r="W10" s="65">
        <f>VLOOKUP(Eingabe!E20,Daten!$B$263:$G$287,5)</f>
        <v>7</v>
      </c>
      <c r="X10" s="58" t="s">
        <v>105</v>
      </c>
      <c r="Y10" s="58"/>
      <c r="Z10" s="63" t="str">
        <f>VLOOKUP(Eingabe!E20,Daten!$B$263:$G$287,6)</f>
        <v>-</v>
      </c>
      <c r="AB10" s="33"/>
      <c r="AC10" s="270"/>
      <c r="AD10" s="33"/>
      <c r="AE10" s="33"/>
    </row>
    <row r="11" spans="2:31" ht="12.75">
      <c r="B11" s="55" t="s">
        <v>101</v>
      </c>
      <c r="C11" s="56"/>
      <c r="D11" s="56"/>
      <c r="E11" s="151">
        <f>Eingabe!$D$21+VLOOKUP(Eingabe!$C$7,Daten!$C$33:$I$39,6)</f>
        <v>10</v>
      </c>
      <c r="F11" s="152"/>
      <c r="G11" s="57" t="s">
        <v>218</v>
      </c>
      <c r="H11" s="58"/>
      <c r="I11" s="58"/>
      <c r="J11" s="58"/>
      <c r="K11" s="58"/>
      <c r="L11" s="51">
        <f>VLOOKUP(Eingabe!$E$21,Daten!$B$290:$F$314,2)</f>
        <v>0</v>
      </c>
      <c r="M11" s="49"/>
      <c r="N11" s="58" t="s">
        <v>177</v>
      </c>
      <c r="O11" s="58"/>
      <c r="P11" s="58"/>
      <c r="Q11" s="66" t="str">
        <f>VLOOKUP(Eingabe!$E$21,Daten!$B$290:$F$314,3)</f>
        <v>-</v>
      </c>
      <c r="R11" s="58" t="s">
        <v>178</v>
      </c>
      <c r="S11" s="58"/>
      <c r="T11" s="58"/>
      <c r="U11" s="58"/>
      <c r="V11" s="62">
        <f>VLOOKUP(Eingabe!$E$21,Daten!$B$290:$F$314,4)</f>
        <v>15</v>
      </c>
      <c r="W11" s="67" t="s">
        <v>179</v>
      </c>
      <c r="X11" s="67"/>
      <c r="Y11" s="67"/>
      <c r="Z11" s="63" t="str">
        <f>VLOOKUP(Eingabe!$E$21,Daten!$B$290:$F$314,5)</f>
        <v>-</v>
      </c>
      <c r="AB11" s="33"/>
      <c r="AC11" s="270"/>
      <c r="AD11" s="33"/>
      <c r="AE11" s="33"/>
    </row>
    <row r="12" spans="2:31" ht="12.75">
      <c r="B12" s="68" t="s">
        <v>107</v>
      </c>
      <c r="C12" s="69"/>
      <c r="D12" s="69"/>
      <c r="E12" s="153">
        <f>Eingabe!$D$22+VLOOKUP(Eingabe!$C$7,Daten!$C$33:$I$39,7)</f>
        <v>10</v>
      </c>
      <c r="F12" s="154"/>
      <c r="G12" s="70"/>
      <c r="H12" s="71"/>
      <c r="I12" s="72" t="s">
        <v>180</v>
      </c>
      <c r="J12" s="71"/>
      <c r="K12" s="71"/>
      <c r="L12" s="71"/>
      <c r="M12" s="71"/>
      <c r="N12" s="73">
        <f>VLOOKUP(Eingabe!$E$22,Daten!$B$317:$E$341,2)</f>
        <v>4</v>
      </c>
      <c r="O12" s="71"/>
      <c r="P12" s="72" t="s">
        <v>181</v>
      </c>
      <c r="Q12" s="71"/>
      <c r="R12" s="71"/>
      <c r="S12" s="73">
        <f>VLOOKUP(Eingabe!$E$22,Daten!$B$317:$E$341,3)</f>
        <v>0</v>
      </c>
      <c r="T12" s="71"/>
      <c r="U12" s="72" t="s">
        <v>165</v>
      </c>
      <c r="V12" s="71"/>
      <c r="W12" s="71"/>
      <c r="X12" s="71"/>
      <c r="Y12" s="73">
        <f>VLOOKUP(Eingabe!$E$22,Daten!$B$317:$E$341,4)</f>
        <v>0</v>
      </c>
      <c r="Z12" s="74"/>
      <c r="AB12" s="33"/>
      <c r="AC12" s="33"/>
      <c r="AD12" s="33"/>
      <c r="AE12" s="33"/>
    </row>
    <row r="13" spans="2:31" ht="3" customHeight="1">
      <c r="B13" s="33"/>
      <c r="C13" s="33"/>
      <c r="D13" s="33"/>
      <c r="E13" s="33"/>
      <c r="F13" s="33"/>
      <c r="G13" s="33"/>
      <c r="H13" s="33"/>
      <c r="AB13" s="33"/>
      <c r="AC13" s="33"/>
      <c r="AD13" s="33"/>
      <c r="AE13" s="33"/>
    </row>
    <row r="14" spans="2:31" ht="12.75">
      <c r="B14" s="75" t="s">
        <v>182</v>
      </c>
      <c r="C14" s="75"/>
      <c r="D14" s="75"/>
      <c r="E14" s="75"/>
      <c r="F14" s="76">
        <f>IF(Eingabe!$C$31=TRUE,VLOOKUP(Eingabe!C9,Eingabe!B37:E51,4),Eingabe!D33)</f>
        <v>81</v>
      </c>
      <c r="G14" s="77"/>
      <c r="H14" s="78"/>
      <c r="I14" s="8" t="s">
        <v>183</v>
      </c>
      <c r="J14" s="6"/>
      <c r="K14" s="6"/>
      <c r="L14" s="6"/>
      <c r="M14" s="6"/>
      <c r="N14" s="6"/>
      <c r="O14" s="6"/>
      <c r="P14" s="6"/>
      <c r="Q14" s="6"/>
      <c r="R14" s="80" t="s">
        <v>184</v>
      </c>
      <c r="S14" s="8" t="s">
        <v>185</v>
      </c>
      <c r="T14" s="6"/>
      <c r="U14" s="6"/>
      <c r="V14" s="6"/>
      <c r="W14" s="7"/>
      <c r="X14" s="80" t="s">
        <v>186</v>
      </c>
      <c r="Y14" s="80" t="s">
        <v>187</v>
      </c>
      <c r="Z14" s="117" t="s">
        <v>188</v>
      </c>
      <c r="AB14" s="33"/>
      <c r="AC14" s="270"/>
      <c r="AD14" s="33"/>
      <c r="AE14" s="33"/>
    </row>
    <row r="15" spans="2:39" ht="12.75">
      <c r="B15" s="8" t="s">
        <v>189</v>
      </c>
      <c r="C15" s="6"/>
      <c r="D15" s="6"/>
      <c r="E15" s="7"/>
      <c r="F15" s="76" t="str">
        <f>IF(Eingabe!$C$9=3,IF(Eingabe!C11=1,Daten!B343+Daten!B344+Daten!B345,Daten!B343+Daten!B344+Daten!B345+(Eingabe!C11*(Daten!B344+Daten!B345))),"-")</f>
        <v>-</v>
      </c>
      <c r="G15" s="77"/>
      <c r="H15" s="78"/>
      <c r="I15" s="81" t="str">
        <f>VLOOKUP(Eingabe!$C$61,Daten!$A$149:$B$192,2)</f>
        <v>Full Healing</v>
      </c>
      <c r="J15" s="82"/>
      <c r="K15" s="82"/>
      <c r="L15" s="82"/>
      <c r="M15" s="82"/>
      <c r="N15" s="82"/>
      <c r="O15" s="82"/>
      <c r="P15" s="82"/>
      <c r="Q15" s="83"/>
      <c r="R15" s="132">
        <f>IF(Eingabe!F61=0,"-",Eingabe!F61-1)</f>
        <v>1</v>
      </c>
      <c r="S15" s="84" t="s">
        <v>190</v>
      </c>
      <c r="T15" s="85"/>
      <c r="U15" s="85"/>
      <c r="V15" s="85"/>
      <c r="W15" s="86"/>
      <c r="X15" s="87">
        <f>IF(Eingabe!C58&lt;7,-E22,)</f>
        <v>0</v>
      </c>
      <c r="Y15" s="88">
        <f>IF(Daten!B20=FALSE,IF(Daten!C20=FALSE,Daten!D20,Daten!C20),Daten!B20)</f>
        <v>11</v>
      </c>
      <c r="Z15" s="88">
        <f>Y15-X15</f>
        <v>11</v>
      </c>
      <c r="AB15" s="33"/>
      <c r="AC15" s="271"/>
      <c r="AD15" s="33"/>
      <c r="AE15" s="33"/>
      <c r="AL15" s="33"/>
      <c r="AM15" s="33"/>
    </row>
    <row r="16" spans="2:39" ht="12.75">
      <c r="B16" s="8" t="s">
        <v>191</v>
      </c>
      <c r="C16" s="6"/>
      <c r="D16" s="6"/>
      <c r="E16" s="6"/>
      <c r="F16" s="6"/>
      <c r="G16" s="6"/>
      <c r="H16" s="7"/>
      <c r="I16" s="89">
        <f>VLOOKUP(Eingabe!$C$62,Daten!$A$149:$B$192,2)</f>
        <v>0</v>
      </c>
      <c r="J16" s="90"/>
      <c r="K16" s="90"/>
      <c r="L16" s="90"/>
      <c r="M16" s="90"/>
      <c r="N16" s="90"/>
      <c r="O16" s="90"/>
      <c r="P16" s="90"/>
      <c r="Q16" s="91"/>
      <c r="R16" s="132">
        <f>IF(Eingabe!F62=0,"-",Eingabe!F62-1)</f>
        <v>0</v>
      </c>
      <c r="S16" s="92" t="s">
        <v>192</v>
      </c>
      <c r="T16" s="93"/>
      <c r="U16" s="93"/>
      <c r="V16" s="93"/>
      <c r="W16" s="94"/>
      <c r="X16" s="87">
        <f>IF(Eingabe!C58&lt;7,-E22,)</f>
        <v>0</v>
      </c>
      <c r="Y16" s="88">
        <f>IF(Daten!B21=FALSE,IF(Daten!C21=FALSE,Daten!D21,Daten!C21),Daten!B21)</f>
        <v>13</v>
      </c>
      <c r="Z16" s="88">
        <f>Y16-X16</f>
        <v>13</v>
      </c>
      <c r="AB16" s="33"/>
      <c r="AC16" s="270"/>
      <c r="AD16" s="93"/>
      <c r="AE16" s="33"/>
      <c r="AL16" s="33"/>
      <c r="AM16" s="33"/>
    </row>
    <row r="17" spans="2:39" ht="12.75">
      <c r="B17" s="110"/>
      <c r="C17" s="111"/>
      <c r="D17" s="111"/>
      <c r="E17" s="111"/>
      <c r="F17" s="111"/>
      <c r="G17" s="111"/>
      <c r="H17" s="114"/>
      <c r="I17" s="90">
        <f>VLOOKUP(Eingabe!$C$63,Daten!$A$149:$B$192,2)</f>
        <v>0</v>
      </c>
      <c r="J17" s="90"/>
      <c r="K17" s="90"/>
      <c r="L17" s="90"/>
      <c r="M17" s="90"/>
      <c r="N17" s="90"/>
      <c r="O17" s="90"/>
      <c r="P17" s="90"/>
      <c r="Q17" s="91"/>
      <c r="R17" s="132">
        <f>IF(Eingabe!F63=0,"-",Eingabe!F63-1)</f>
        <v>0</v>
      </c>
      <c r="S17" s="92" t="s">
        <v>193</v>
      </c>
      <c r="T17" s="93"/>
      <c r="U17" s="93"/>
      <c r="V17" s="93"/>
      <c r="W17" s="94"/>
      <c r="X17" s="87">
        <f>IF(Eingabe!C58&lt;7,-E22,)</f>
        <v>0</v>
      </c>
      <c r="Y17" s="88">
        <f>IF(Daten!B22=FALSE,IF(Daten!C22=FALSE,Daten!D22,Daten!C22),Daten!B22)</f>
        <v>12</v>
      </c>
      <c r="Z17" s="88">
        <f>Y17-X17</f>
        <v>12</v>
      </c>
      <c r="AB17" s="33"/>
      <c r="AC17" s="270"/>
      <c r="AD17" s="33"/>
      <c r="AE17" s="33"/>
      <c r="AL17" s="33"/>
      <c r="AM17" s="33"/>
    </row>
    <row r="18" spans="2:39" ht="12.75">
      <c r="B18" s="18"/>
      <c r="C18" s="19"/>
      <c r="D18" s="19"/>
      <c r="E18" s="19"/>
      <c r="F18" s="19"/>
      <c r="G18" s="19"/>
      <c r="H18" s="20"/>
      <c r="I18" s="90">
        <f>VLOOKUP(Eingabe!$C$64,Daten!$A$149:$B$192,2)</f>
        <v>0</v>
      </c>
      <c r="J18" s="90"/>
      <c r="K18" s="90"/>
      <c r="L18" s="90"/>
      <c r="M18" s="90"/>
      <c r="N18" s="90"/>
      <c r="O18" s="90"/>
      <c r="P18" s="90"/>
      <c r="Q18" s="91"/>
      <c r="R18" s="132">
        <f>IF(Eingabe!F64=0,"-",Eingabe!F64-1)</f>
        <v>0</v>
      </c>
      <c r="S18" s="92" t="s">
        <v>46</v>
      </c>
      <c r="T18" s="93"/>
      <c r="U18" s="93"/>
      <c r="V18" s="93"/>
      <c r="W18" s="94"/>
      <c r="X18" s="87">
        <f>IF(Eingabe!C58&lt;7,-E22,)</f>
        <v>0</v>
      </c>
      <c r="Y18" s="88">
        <f>IF(Daten!B23=FALSE,IF(Daten!C23=FALSE,Daten!D23,Daten!C23),Daten!B23)</f>
        <v>13</v>
      </c>
      <c r="Z18" s="88">
        <f>Y18-X18</f>
        <v>13</v>
      </c>
      <c r="AB18" s="33"/>
      <c r="AC18" s="33"/>
      <c r="AD18" s="33"/>
      <c r="AE18" s="33"/>
      <c r="AL18" s="33"/>
      <c r="AM18" s="33"/>
    </row>
    <row r="19" spans="2:33" ht="12.75">
      <c r="B19" s="98"/>
      <c r="C19" s="99"/>
      <c r="D19" s="99"/>
      <c r="E19" s="99"/>
      <c r="F19" s="99"/>
      <c r="G19" s="99"/>
      <c r="H19" s="97"/>
      <c r="I19" s="100">
        <f>VLOOKUP(Eingabe!$C$65,Daten!$A$149:$B$192,2)</f>
        <v>0</v>
      </c>
      <c r="J19" s="100"/>
      <c r="K19" s="100"/>
      <c r="L19" s="100"/>
      <c r="M19" s="100"/>
      <c r="N19" s="100"/>
      <c r="O19" s="100"/>
      <c r="P19" s="100"/>
      <c r="Q19" s="101"/>
      <c r="R19" s="133">
        <f>IF(Eingabe!F65=0,"-",Eingabe!F65-1)</f>
        <v>0</v>
      </c>
      <c r="S19" s="102" t="s">
        <v>195</v>
      </c>
      <c r="T19" s="103"/>
      <c r="U19" s="103"/>
      <c r="V19" s="103"/>
      <c r="W19" s="104"/>
      <c r="X19" s="105">
        <f>IF(Eingabe!C58&lt;7,$L$11-E22,$L$11)</f>
        <v>0</v>
      </c>
      <c r="Y19" s="106">
        <f>Daten!B25+IF(Eingabe!E21=18,-4,IF(Eingabe!E21=17,-3))</f>
        <v>14</v>
      </c>
      <c r="Z19" s="106">
        <f>Y19-X19</f>
        <v>14</v>
      </c>
      <c r="AF19" s="33"/>
      <c r="AG19" s="33"/>
    </row>
    <row r="20" spans="32:33" ht="2.25" customHeight="1">
      <c r="AF20" s="33"/>
      <c r="AG20" s="33"/>
    </row>
    <row r="21" spans="2:31" ht="12.75" customHeight="1">
      <c r="B21" s="10" t="s">
        <v>196</v>
      </c>
      <c r="C21" s="11"/>
      <c r="D21" s="12"/>
      <c r="E21" s="137">
        <f>IF(Eingabe!$C$9=7,IF(Eingabe!$C11&lt;7,6,IF(Eingabe!$C$11&lt;8,5,IF(Eingabe!$C$11&lt;10,4,3))),10)+Y8</f>
        <v>6</v>
      </c>
      <c r="F21" s="8" t="s">
        <v>197</v>
      </c>
      <c r="G21" s="6"/>
      <c r="H21" s="7"/>
      <c r="I21" s="265" t="str">
        <f>VLOOKUP(Eingabe!$C$54,Daten!B349:C360,2)</f>
        <v>Lederrüstung</v>
      </c>
      <c r="J21" s="267"/>
      <c r="K21" s="267"/>
      <c r="L21" s="266"/>
      <c r="M21" s="107" t="s">
        <v>198</v>
      </c>
      <c r="N21" s="186">
        <f>Eingabe!$C$55</f>
        <v>1</v>
      </c>
      <c r="O21" s="265">
        <f>VLOOKUP(Eingabe!$C$54,Daten!B349:D360,3)-Eingabe!C55</f>
        <v>-5</v>
      </c>
      <c r="P21" s="266"/>
      <c r="Q21" s="244">
        <f>IF(E22&lt;O21,E21+E22+E23,E$21+$O$21+$E$23)+VLOOKUP(Eingabe!C110,Daten!A483:B493,2)</f>
        <v>1</v>
      </c>
      <c r="R21" s="245"/>
      <c r="S21" s="265" t="s">
        <v>194</v>
      </c>
      <c r="T21" s="267"/>
      <c r="U21" s="267"/>
      <c r="V21" s="267"/>
      <c r="W21" s="267"/>
      <c r="X21" s="267"/>
      <c r="Y21" s="267"/>
      <c r="Z21" s="266"/>
      <c r="AC21" s="33"/>
      <c r="AD21" s="270"/>
      <c r="AE21" s="270"/>
    </row>
    <row r="22" spans="2:31" ht="12.75" customHeight="1">
      <c r="B22" s="18" t="s">
        <v>293</v>
      </c>
      <c r="C22" s="19"/>
      <c r="D22" s="20"/>
      <c r="E22" s="162">
        <f>VLOOKUP(Eingabe!C58,Daten!A469:C478,3)</f>
        <v>0</v>
      </c>
      <c r="F22" s="21" t="s">
        <v>270</v>
      </c>
      <c r="G22" s="21"/>
      <c r="H22" s="21"/>
      <c r="I22" s="135">
        <f>VLOOKUP(Eingabe!C54,Daten!B349:E359,4)</f>
        <v>0</v>
      </c>
      <c r="J22" s="139">
        <f>I22+Q21</f>
        <v>1</v>
      </c>
      <c r="K22" s="265" t="s">
        <v>271</v>
      </c>
      <c r="L22" s="267"/>
      <c r="M22" s="267"/>
      <c r="N22" s="266"/>
      <c r="O22" s="135">
        <f>VLOOKUP(Eingabe!$C$54,Daten!B349:F359,5)</f>
        <v>2</v>
      </c>
      <c r="P22" s="140">
        <f>O22+Q21</f>
        <v>3</v>
      </c>
      <c r="Q22" s="261"/>
      <c r="R22" s="262"/>
      <c r="S22" s="189"/>
      <c r="T22" s="134"/>
      <c r="U22" s="33"/>
      <c r="V22" s="33"/>
      <c r="W22" s="33"/>
      <c r="X22" s="33"/>
      <c r="Y22" s="33"/>
      <c r="Z22" s="115"/>
      <c r="AC22" s="33"/>
      <c r="AD22" s="270"/>
      <c r="AE22" s="270"/>
    </row>
    <row r="23" spans="2:31" ht="12.75" customHeight="1">
      <c r="B23" s="68" t="s">
        <v>292</v>
      </c>
      <c r="C23" s="27"/>
      <c r="D23" s="29"/>
      <c r="E23" s="163">
        <f>IF(Eingabe!C56=1,0+Eingabe!C57,VLOOKUP(Eingabe!C56,Daten!A377:C382,3))-Eingabe!C57</f>
        <v>0</v>
      </c>
      <c r="F23" s="28" t="s">
        <v>199</v>
      </c>
      <c r="G23" s="28"/>
      <c r="H23" s="28"/>
      <c r="I23" s="106">
        <f>IF(Eingabe!C56&gt;3,VLOOKUP(Eingabe!C56,Daten!A380:D381,4),0)</f>
        <v>0</v>
      </c>
      <c r="J23" s="138">
        <f>Q21+I23</f>
        <v>1</v>
      </c>
      <c r="K23" s="265" t="s">
        <v>272</v>
      </c>
      <c r="L23" s="267"/>
      <c r="M23" s="267"/>
      <c r="N23" s="266"/>
      <c r="O23" s="106">
        <f>VLOOKUP(Eingabe!$C$54,Daten!B349:G359,6)</f>
        <v>0</v>
      </c>
      <c r="P23" s="141">
        <f>O23+Q21</f>
        <v>1</v>
      </c>
      <c r="Q23" s="263"/>
      <c r="R23" s="264"/>
      <c r="S23" s="98"/>
      <c r="T23" s="190"/>
      <c r="U23" s="99"/>
      <c r="V23" s="99"/>
      <c r="W23" s="99"/>
      <c r="X23" s="99"/>
      <c r="Y23" s="99"/>
      <c r="Z23" s="97"/>
      <c r="AB23" s="33"/>
      <c r="AC23" s="272"/>
      <c r="AD23" s="270"/>
      <c r="AE23" s="270"/>
    </row>
    <row r="24" spans="5:33" ht="3" customHeight="1">
      <c r="E24" s="136"/>
      <c r="AB24" s="33"/>
      <c r="AC24" s="33"/>
      <c r="AD24" s="33"/>
      <c r="AE24" s="33"/>
      <c r="AF24" s="33"/>
      <c r="AG24" s="33"/>
    </row>
    <row r="25" spans="2:33" ht="12.75">
      <c r="B25" s="8" t="s">
        <v>200</v>
      </c>
      <c r="C25" s="6"/>
      <c r="D25" s="6"/>
      <c r="E25" s="6"/>
      <c r="F25" s="6"/>
      <c r="G25" s="6"/>
      <c r="H25" s="6"/>
      <c r="I25" s="79" t="s">
        <v>201</v>
      </c>
      <c r="J25" s="6" t="s">
        <v>202</v>
      </c>
      <c r="K25" s="6"/>
      <c r="L25" s="6"/>
      <c r="M25" s="79"/>
      <c r="N25" s="6" t="s">
        <v>203</v>
      </c>
      <c r="O25" s="6"/>
      <c r="P25" s="6"/>
      <c r="Q25" s="6" t="s">
        <v>25</v>
      </c>
      <c r="R25" s="6"/>
      <c r="S25" s="79" t="s">
        <v>204</v>
      </c>
      <c r="T25" s="79"/>
      <c r="U25" s="79"/>
      <c r="V25" s="79"/>
      <c r="W25" s="79" t="s">
        <v>205</v>
      </c>
      <c r="X25" s="79"/>
      <c r="Y25" s="79" t="s">
        <v>206</v>
      </c>
      <c r="Z25" s="108"/>
      <c r="AB25" s="33"/>
      <c r="AC25" s="159"/>
      <c r="AD25" s="33"/>
      <c r="AE25" s="33"/>
      <c r="AF25" s="33"/>
      <c r="AG25" s="33"/>
    </row>
    <row r="26" spans="2:39" ht="12.75">
      <c r="B26" s="241" t="str">
        <f>VLOOKUP(Eingabe!$C$68,Daten!A387:B433,2)</f>
        <v>Grossaxt</v>
      </c>
      <c r="C26" s="240"/>
      <c r="D26" s="240"/>
      <c r="E26" s="240"/>
      <c r="F26" s="240"/>
      <c r="G26" s="240"/>
      <c r="H26" s="155">
        <f>IF(Eingabe!$C$69&gt;0,Eingabe!$C$69,"-")</f>
        <v>1</v>
      </c>
      <c r="I26" s="145">
        <f>IF(Eingabe!$D$120=TRUE,2,IF(Eingabe!$D$121=TRUE,1.5,1))</f>
        <v>1.5</v>
      </c>
      <c r="J26" s="158">
        <f>$H$7+VLOOKUP(Eingabe!$C$70,Daten!$A$439:$C$443,3)</f>
        <v>5</v>
      </c>
      <c r="K26" s="144">
        <f>IF(Eingabe!$C$69&gt;0,Eingabe!$C$69,"-")</f>
        <v>1</v>
      </c>
      <c r="L26" s="143">
        <f>IF(Eingabe!$C$69&gt;0,$K$26+$J$26,$J$26)</f>
        <v>6</v>
      </c>
      <c r="M26" s="109"/>
      <c r="N26" s="181">
        <f>$J$7+VLOOKUP(Eingabe!$C$70,Daten!$A$439:$D$443,4)</f>
        <v>7</v>
      </c>
      <c r="O26" s="158">
        <f>IF(Eingabe!$C$69&gt;0,Eingabe!$C$69,"-")</f>
        <v>1</v>
      </c>
      <c r="P26" s="160">
        <f>IF(Eingabe!$C$69&gt;0,$N$26+$O$26,$N$26)+VLOOKUP(Eingabe!C112,Daten!A483:B493,2)</f>
        <v>8</v>
      </c>
      <c r="Q26" s="237">
        <f>IF(Eingabe!$D$119=TRUE,VLOOKUP($P$2,Daten!$A$446:$D$465,2),IF(Eingabe!$D$122=TRUE,VLOOKUP(Charakterbogen!$P$2,Daten!$A$446:$C$465,3),IF(Eingabe!$D$123=TRUE,VLOOKUP(Charakterbogen!$P$2,Daten!$A$446:$D$465,4),VLOOKUP(Charakterbogen!$P$2,Daten!$A$446:$E$465,5))))</f>
        <v>15</v>
      </c>
      <c r="R26" s="232">
        <f>(Q26-L26)+(VLOOKUP(Eingabe!C111,Daten!A483:B493,2))</f>
        <v>9</v>
      </c>
      <c r="S26" s="241" t="str">
        <f>VLOOKUP(Eingabe!$C$68,Daten!A388:C433,3)</f>
        <v>1W8</v>
      </c>
      <c r="T26" s="240"/>
      <c r="U26" s="240" t="str">
        <f>VLOOKUP(Eingabe!$C$68,Daten!$A$388:$D$433,4)</f>
        <v>1w12</v>
      </c>
      <c r="V26" s="240"/>
      <c r="W26" s="11" t="str">
        <f>VLOOKUP(Eingabe!$C$68,Daten!A388:E433,5)</f>
        <v>Klinge</v>
      </c>
      <c r="X26" s="12"/>
      <c r="Y26" s="11">
        <f>VLOOKUP(Eingabe!$C$68,Daten!A388:F433,6)</f>
        <v>7</v>
      </c>
      <c r="Z26" s="12"/>
      <c r="AB26" s="33"/>
      <c r="AC26" s="247"/>
      <c r="AD26" s="33"/>
      <c r="AL26" s="33"/>
      <c r="AM26" s="33"/>
    </row>
    <row r="27" spans="2:39" ht="12.75">
      <c r="B27" s="257" t="str">
        <f>IF(Eingabe!C72=1,"-",VLOOKUP(Eingabe!$C$72-1,Daten!A387:B433,2))</f>
        <v>Keule</v>
      </c>
      <c r="C27" s="258"/>
      <c r="D27" s="258"/>
      <c r="E27" s="258"/>
      <c r="F27" s="258"/>
      <c r="G27" s="258"/>
      <c r="H27" s="156" t="str">
        <f>IF(Eingabe!$C$73&gt;0,Eingabe!$C$73,"-")</f>
        <v>-</v>
      </c>
      <c r="I27" s="146">
        <v>1</v>
      </c>
      <c r="J27" s="158">
        <f>IF(Eingabe!C74=1,"-",$H$7+VLOOKUP(Eingabe!$C$74,Daten!$A$439:$C$443,3))</f>
        <v>5</v>
      </c>
      <c r="K27" s="144" t="str">
        <f>IF(Eingabe!$C$73&gt;0,Eingabe!$C$73,"-")</f>
        <v>-</v>
      </c>
      <c r="L27" s="159">
        <f>IF(Eingabe!$C$73&gt;0,$K$27+$J$27,$J$27)</f>
        <v>5</v>
      </c>
      <c r="M27" s="33"/>
      <c r="N27" s="182">
        <f>IF(Eingabe!$C$72=1,"-",$J$7+VLOOKUP(Eingabe!$C$74,Daten!$A$439:$D$443,4))</f>
        <v>7</v>
      </c>
      <c r="O27" s="158" t="str">
        <f>IF(Eingabe!$C$73&gt;0,Eingabe!$C$73,"-")</f>
        <v>-</v>
      </c>
      <c r="P27" s="246">
        <f>IF($N$27="-","-",IF(Eingabe!$C$73&gt;0,$N$27+$O$27,$N$27)+VLOOKUP(Eingabe!C112,Daten!A483:B493,2))</f>
        <v>7</v>
      </c>
      <c r="Q27" s="95"/>
      <c r="R27" s="233">
        <f>IF(Eingabe!C72=1,"-",Q26-L27+(VLOOKUP(Eingabe!C111,Daten!A483:B493,2)))</f>
        <v>10</v>
      </c>
      <c r="S27" s="257" t="str">
        <f>IF(Eingabe!C72=1,"-",VLOOKUP(Eingabe!$C$72-1,Daten!A387:C433,3))</f>
        <v>1w6</v>
      </c>
      <c r="T27" s="258"/>
      <c r="U27" s="258" t="str">
        <f>IF(Eingabe!C72=1,"-",VLOOKUP(Eingabe!$C$72-1,Daten!$A$387:$D$433,4))</f>
        <v>1w3</v>
      </c>
      <c r="V27" s="258"/>
      <c r="W27" s="19" t="str">
        <f>IF(Eingabe!C72=1,"-",VLOOKUP(Eingabe!$C$72-1,Daten!A387:E433,5))</f>
        <v>Wucht</v>
      </c>
      <c r="X27" s="20"/>
      <c r="Y27" s="19">
        <f>IF(Eingabe!C72=1,"-",VLOOKUP(Eingabe!$C$72-1,Daten!A387:F433,6))</f>
        <v>4</v>
      </c>
      <c r="Z27" s="20"/>
      <c r="AL27" s="33"/>
      <c r="AM27" s="33"/>
    </row>
    <row r="28" spans="2:39" ht="12.75">
      <c r="B28" s="238" t="str">
        <f>IF(Eingabe!C76=1,"-",VLOOKUP(Eingabe!$C$76-1,Daten!A387:B433,2))</f>
        <v>-</v>
      </c>
      <c r="C28" s="239"/>
      <c r="D28" s="239"/>
      <c r="E28" s="239"/>
      <c r="F28" s="239"/>
      <c r="G28" s="239"/>
      <c r="H28" s="157" t="str">
        <f>IF(Eingabe!$C$77&gt;0,Eingabe!$C$77,"-")</f>
        <v>-</v>
      </c>
      <c r="I28" s="147">
        <f>I26</f>
        <v>1.5</v>
      </c>
      <c r="J28" s="158" t="str">
        <f>IF(Eingabe!C76=1,"-",$H$7+VLOOKUP(Eingabe!$C$78,Daten!$A$439:$C$443,3))</f>
        <v>-</v>
      </c>
      <c r="K28" s="144" t="str">
        <f>IF(Eingabe!$C$77&gt;0,Eingabe!$C$77,"-")</f>
        <v>-</v>
      </c>
      <c r="L28" s="159" t="str">
        <f>IF(Eingabe!$C$77&gt;0,$K$28+$J$28,$J$28)</f>
        <v>-</v>
      </c>
      <c r="M28" s="99"/>
      <c r="N28" s="183" t="str">
        <f>IF(Eingabe!$C$76=1,"-",$J$7+VLOOKUP(Eingabe!$C$78,Daten!$A$439:$D$443,4))</f>
        <v>-</v>
      </c>
      <c r="O28" s="158" t="str">
        <f>IF(Eingabe!$C$77&gt;0,Eingabe!$C$77,"-")</f>
        <v>-</v>
      </c>
      <c r="P28" s="161" t="str">
        <f>IF($N$28="-","-",IF(Eingabe!$C$77&gt;0,$N$28+$O$28,$N$28)+VLOOKUP(Eingabe!C112,Daten!A483:B493,2))</f>
        <v>-</v>
      </c>
      <c r="Q28" s="112"/>
      <c r="R28" s="234" t="str">
        <f>IF(Eingabe!C76=1,"-",Q26-L28+(VLOOKUP(Eingabe!C111,Daten!A483:B493,2)))</f>
        <v>-</v>
      </c>
      <c r="S28" s="238" t="str">
        <f>IF(Eingabe!C76=1,"-",VLOOKUP(Eingabe!$C$76-1,Daten!A387:C433,3))</f>
        <v>-</v>
      </c>
      <c r="T28" s="239"/>
      <c r="U28" s="239" t="str">
        <f>IF(Eingabe!C76=1,"-",VLOOKUP(Eingabe!$C$76-1,Daten!$A$387:$F$388,4))</f>
        <v>-</v>
      </c>
      <c r="V28" s="239"/>
      <c r="W28" s="27" t="str">
        <f>IF(Eingabe!C76=1,"-",VLOOKUP(Eingabe!$C$76-1,Daten!A387:E433,5))</f>
        <v>-</v>
      </c>
      <c r="X28" s="29"/>
      <c r="Y28" s="268" t="str">
        <f>IF(Eingabe!C76=1,"-",VLOOKUP(Eingabe!$C$76,Daten!A387:F433,6))</f>
        <v>-</v>
      </c>
      <c r="Z28" s="269"/>
      <c r="AL28" s="33"/>
      <c r="AM28" s="33"/>
    </row>
    <row r="29" spans="2:39" ht="12.75">
      <c r="B29" s="187" t="s">
        <v>330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L29" s="33"/>
      <c r="AM29" s="33"/>
    </row>
    <row r="30" spans="2:39" ht="12.75">
      <c r="B30" s="241" t="str">
        <f>IF(Eingabe!$B$82=TRUE,"Schwimmen","-")</f>
        <v>Schwimmen</v>
      </c>
      <c r="C30" s="240"/>
      <c r="D30" s="240"/>
      <c r="E30" s="240"/>
      <c r="F30" s="111" t="s">
        <v>338</v>
      </c>
      <c r="G30" s="219" t="str">
        <f>IF(Eingabe!$B$82=TRUE,Eingabe!$C$82,"-")</f>
        <v>14</v>
      </c>
      <c r="H30" s="240" t="str">
        <f>IF(Eingabe!$B$89=TRUE,"Blind Kämpfen","-")</f>
        <v>-</v>
      </c>
      <c r="I30" s="240"/>
      <c r="J30" s="240"/>
      <c r="K30" s="240"/>
      <c r="L30" s="111" t="s">
        <v>64</v>
      </c>
      <c r="M30" s="111" t="str">
        <f>IF(Eingabe!$B$84=TRUE,Eingabe!$C$84,"-")</f>
        <v>-</v>
      </c>
      <c r="N30" s="219" t="str">
        <f>IF(Eingabe!$B$89=TRUE,Eingabe!$C$89,"-")</f>
        <v>-</v>
      </c>
      <c r="O30" s="240" t="str">
        <f>IF(Eingabe!$D$82=TRUE,"Feuer machen","-")</f>
        <v>-</v>
      </c>
      <c r="P30" s="240"/>
      <c r="Q30" s="240"/>
      <c r="R30" s="240"/>
      <c r="S30" s="111" t="s">
        <v>371</v>
      </c>
      <c r="T30" s="219" t="str">
        <f>IF(Eingabe!$D$82=TRUE,Eingabe!$E$82,"-")</f>
        <v>-</v>
      </c>
      <c r="U30" s="240" t="str">
        <f>IF(Eingabe!$D$89=TRUE,"Zauberkunde","-")</f>
        <v>-</v>
      </c>
      <c r="V30" s="240"/>
      <c r="W30" s="240"/>
      <c r="X30" s="240"/>
      <c r="Y30" s="111" t="s">
        <v>372</v>
      </c>
      <c r="Z30" s="220" t="str">
        <f>IF(Eingabe!$D$89=TRUE,Eingabe!$E$89,"-")</f>
        <v>-</v>
      </c>
      <c r="AL30" s="33"/>
      <c r="AM30" s="33"/>
    </row>
    <row r="31" spans="2:39" ht="12.75">
      <c r="B31" s="257" t="str">
        <f>IF(Eingabe!$B$83=TRUE,"Reiten","-")</f>
        <v>Reiten</v>
      </c>
      <c r="C31" s="258"/>
      <c r="D31" s="258"/>
      <c r="E31" s="258"/>
      <c r="F31" s="96" t="s">
        <v>371</v>
      </c>
      <c r="G31" s="218" t="str">
        <f>IF(Eingabe!$B$83=TRUE,Eingabe!$C$83,"-")</f>
        <v>20</v>
      </c>
      <c r="H31" s="258" t="str">
        <f>IF(Eingabe!$B$90=TRUE,"Dauerlauf","-")</f>
        <v>-</v>
      </c>
      <c r="I31" s="258"/>
      <c r="J31" s="258"/>
      <c r="K31" s="258"/>
      <c r="L31" s="96" t="s">
        <v>341</v>
      </c>
      <c r="M31" s="96" t="str">
        <f>IF(Eingabe!$B$84=TRUE,Eingabe!$C$84,"-")</f>
        <v>-</v>
      </c>
      <c r="N31" s="218" t="str">
        <f>IF(Eingabe!$B$90=TRUE,Eingabe!$C$90,"-")</f>
        <v>-</v>
      </c>
      <c r="O31" s="258" t="str">
        <f>IF(Eingabe!$D$83=TRUE,"Orientierungssinn","-")</f>
        <v>-</v>
      </c>
      <c r="P31" s="258"/>
      <c r="Q31" s="258"/>
      <c r="R31" s="258"/>
      <c r="S31" s="96" t="s">
        <v>371</v>
      </c>
      <c r="T31" s="218" t="str">
        <f>IF(Eingabe!$D$83=TRUE,Eingabe!$E$83,"-")</f>
        <v>-</v>
      </c>
      <c r="U31" s="258" t="str">
        <f>IF(Eingabe!$D$90=TRUE,"Heilkunde","-")</f>
        <v>-</v>
      </c>
      <c r="V31" s="258"/>
      <c r="W31" s="258"/>
      <c r="X31" s="258"/>
      <c r="Y31" s="96" t="s">
        <v>371</v>
      </c>
      <c r="Z31" s="222" t="str">
        <f>IF(Eingabe!$D$90=TRUE,Eingabe!$E$90,"-")</f>
        <v>-</v>
      </c>
      <c r="AL31" s="33"/>
      <c r="AM31" s="33"/>
    </row>
    <row r="32" spans="2:39" ht="12.75">
      <c r="B32" s="257" t="str">
        <f>IF(Eingabe!$B$84=TRUE,"Astrologie","-")</f>
        <v>-</v>
      </c>
      <c r="C32" s="258"/>
      <c r="D32" s="258"/>
      <c r="E32" s="258"/>
      <c r="F32" s="96" t="s">
        <v>342</v>
      </c>
      <c r="G32" s="218" t="str">
        <f>IF(Eingabe!$B$84=TRUE,Eingabe!$C$84,"-")</f>
        <v>-</v>
      </c>
      <c r="H32" s="258" t="str">
        <f>IF(Eingabe!$B$91=TRUE,"Turnen","-")</f>
        <v>-</v>
      </c>
      <c r="I32" s="258"/>
      <c r="J32" s="258"/>
      <c r="K32" s="258"/>
      <c r="L32" s="96" t="s">
        <v>340</v>
      </c>
      <c r="M32" s="96" t="str">
        <f>IF(Eingabe!$B$84=TRUE,Eingabe!$C$84,"-")</f>
        <v>-</v>
      </c>
      <c r="N32" s="218" t="str">
        <f>IF(Eingabe!$B$91=TRUE,Eingabe!$C$91,"-")</f>
        <v>-</v>
      </c>
      <c r="O32" s="258" t="str">
        <f>IF(Eingabe!$D$84=TRUE,"Wetterkunde","-")</f>
        <v>-</v>
      </c>
      <c r="P32" s="258"/>
      <c r="Q32" s="258"/>
      <c r="R32" s="258"/>
      <c r="S32" s="96" t="s">
        <v>371</v>
      </c>
      <c r="T32" s="218" t="str">
        <f>IF(Eingabe!$D$84=TRUE,Eingabe!$E$84,"-")</f>
        <v>-</v>
      </c>
      <c r="U32" s="258" t="str">
        <f>IF(Eingabe!$D$91=TRUE,"Kräuterkunde","-")</f>
        <v>-</v>
      </c>
      <c r="V32" s="258"/>
      <c r="W32" s="258"/>
      <c r="X32" s="258"/>
      <c r="Y32" s="96" t="s">
        <v>342</v>
      </c>
      <c r="Z32" s="222" t="str">
        <f>IF(Eingabe!$D$91=TRUE,Eingabe!$E$91,"-")</f>
        <v>-</v>
      </c>
      <c r="AL32" s="33"/>
      <c r="AM32" s="33"/>
    </row>
    <row r="33" spans="2:26" ht="12.75">
      <c r="B33" s="257" t="str">
        <f>IF(Eingabe!$B$85=TRUE,"Bergsteigen","-")</f>
        <v>-</v>
      </c>
      <c r="C33" s="258"/>
      <c r="D33" s="258"/>
      <c r="E33" s="258"/>
      <c r="F33" s="96" t="s">
        <v>64</v>
      </c>
      <c r="G33" s="218" t="str">
        <f>IF(Eingabe!$B$85=TRUE,Eingabe!$C$85,"-")</f>
        <v>-</v>
      </c>
      <c r="H33" s="258" t="str">
        <f>IF(Eingabe!$B$92=TRUE,"Schätzen","-")</f>
        <v>-</v>
      </c>
      <c r="I33" s="258"/>
      <c r="J33" s="258"/>
      <c r="K33" s="258"/>
      <c r="L33" s="96" t="s">
        <v>342</v>
      </c>
      <c r="M33" s="96" t="str">
        <f>IF(Eingabe!$B$84=TRUE,Eingabe!$C$84,"-")</f>
        <v>-</v>
      </c>
      <c r="N33" s="218" t="str">
        <f>IF(Eingabe!$B$92=TRUE,Eingabe!$C$92,"-")</f>
        <v>-</v>
      </c>
      <c r="O33" s="258" t="str">
        <f>IF(Eingabe!$D$85=TRUE,"Jagen","-")</f>
        <v>-</v>
      </c>
      <c r="P33" s="258"/>
      <c r="Q33" s="258"/>
      <c r="R33" s="258"/>
      <c r="S33" s="96" t="s">
        <v>371</v>
      </c>
      <c r="T33" s="218" t="str">
        <f>IF(Eingabe!$D$85=TRUE,Eingabe!$E$85,"-")</f>
        <v>-</v>
      </c>
      <c r="U33" s="258" t="str">
        <f>IF(Eingabe!$D$92=TRUE,"Geräusche erkenn.","-")</f>
        <v>Geräusche erkenn.</v>
      </c>
      <c r="V33" s="258"/>
      <c r="W33" s="258"/>
      <c r="X33" s="258"/>
      <c r="Y33" s="96" t="s">
        <v>371</v>
      </c>
      <c r="Z33" s="222" t="str">
        <f>IF(Eingabe!$D$92=TRUE,Eingabe!$E$92,"-")</f>
        <v>17</v>
      </c>
    </row>
    <row r="34" spans="2:26" ht="12.75">
      <c r="B34" s="257" t="str">
        <f>IF(Eingabe!$B$86=TRUE,"Quickness","-")</f>
        <v>-</v>
      </c>
      <c r="C34" s="258"/>
      <c r="D34" s="258"/>
      <c r="E34" s="258"/>
      <c r="F34" s="96" t="s">
        <v>340</v>
      </c>
      <c r="G34" s="218" t="str">
        <f>IF(Eingabe!$B$86=TRUE,Eingabe!$C$86,"-")</f>
        <v>-</v>
      </c>
      <c r="H34" s="258" t="str">
        <f>IF(Eingabe!$B$93=TRUE,"Springen","-")</f>
        <v>-</v>
      </c>
      <c r="I34" s="258"/>
      <c r="J34" s="258"/>
      <c r="K34" s="258"/>
      <c r="L34" s="96" t="s">
        <v>338</v>
      </c>
      <c r="M34" s="96" t="str">
        <f>IF(Eingabe!$B$84=TRUE,Eingabe!$C$84,"-")</f>
        <v>-</v>
      </c>
      <c r="N34" s="218" t="str">
        <f>IF(Eingabe!$B$93=TRUE,Eingabe!$C$93,"-")</f>
        <v>-</v>
      </c>
      <c r="O34" s="258" t="str">
        <f>IF(Eingabe!$D$86=TRUE,"Überleben","-")</f>
        <v>-</v>
      </c>
      <c r="P34" s="258"/>
      <c r="Q34" s="258"/>
      <c r="R34" s="258"/>
      <c r="S34" s="96" t="s">
        <v>342</v>
      </c>
      <c r="T34" s="218" t="str">
        <f>IF(Eingabe!$D$86=TRUE,Eingabe!$E$86,"-")</f>
        <v>-</v>
      </c>
      <c r="U34" s="258" t="str">
        <f>IF(Eingabe!$D$93=TRUE,"Informationen erfr.","-")</f>
        <v>Informationen erfr.</v>
      </c>
      <c r="V34" s="258"/>
      <c r="W34" s="258"/>
      <c r="X34" s="258"/>
      <c r="Y34" s="96" t="s">
        <v>342</v>
      </c>
      <c r="Z34" s="222" t="str">
        <f>IF(Eingabe!$D$93=TRUE,Eingabe!$E$93,"-")</f>
        <v>17</v>
      </c>
    </row>
    <row r="35" spans="2:26" ht="12.75">
      <c r="B35" s="257" t="str">
        <f>IF(Eingabe!$B$87=TRUE,"Kochen","-")</f>
        <v>Kochen</v>
      </c>
      <c r="C35" s="258"/>
      <c r="D35" s="258"/>
      <c r="E35" s="258"/>
      <c r="F35" s="96" t="s">
        <v>342</v>
      </c>
      <c r="G35" s="218" t="str">
        <f>IF(Eingabe!$B$87=TRUE,Eingabe!$C$87,"-")</f>
        <v>17</v>
      </c>
      <c r="H35" s="258" t="str">
        <f>IF(Eingabe!$B$94=TRUE,"Lippenlesen","-")</f>
        <v>-</v>
      </c>
      <c r="I35" s="258"/>
      <c r="J35" s="258"/>
      <c r="K35" s="258"/>
      <c r="L35" s="96" t="s">
        <v>342</v>
      </c>
      <c r="M35" s="218" t="str">
        <f>IF(Eingabe!$B$86=TRUE,Eingabe!$C$86,"-")</f>
        <v>-</v>
      </c>
      <c r="N35" s="218" t="str">
        <f>IF(Eingabe!$B$94=TRUE,Eingabe!$C$94,"-")</f>
        <v>-</v>
      </c>
      <c r="O35" s="258" t="str">
        <f>IF(Eingabe!$D$87=TRUE,"Lesen/Schreiben","-")</f>
        <v>Lesen/Schreiben</v>
      </c>
      <c r="P35" s="258"/>
      <c r="Q35" s="258"/>
      <c r="R35" s="258"/>
      <c r="S35" s="96" t="s">
        <v>342</v>
      </c>
      <c r="T35" s="218" t="str">
        <f>IF(Eingabe!$D$87=TRUE,Eingabe!$E$87,"-")</f>
        <v>18</v>
      </c>
      <c r="U35" s="258" t="str">
        <f>IF(Eingabe!$D$94=TRUE,"Tierkunde","-")</f>
        <v>-</v>
      </c>
      <c r="V35" s="258"/>
      <c r="W35" s="258"/>
      <c r="X35" s="258"/>
      <c r="Y35" s="96" t="s">
        <v>342</v>
      </c>
      <c r="Z35" s="222" t="str">
        <f>IF(Eingabe!$D$94=TRUE,Eingabe!$E$94,"-")</f>
        <v>-</v>
      </c>
    </row>
    <row r="36" spans="2:26" ht="12.75">
      <c r="B36" s="257" t="str">
        <f>IF(Eingabe!$B$88=TRUE,"Spuren lesen","-")</f>
        <v>-</v>
      </c>
      <c r="C36" s="258"/>
      <c r="D36" s="258"/>
      <c r="E36" s="258"/>
      <c r="F36" s="96" t="s">
        <v>371</v>
      </c>
      <c r="G36" s="218" t="str">
        <f>IF(Eingabe!$B$88=TRUE,Eingabe!$C$88,"-")</f>
        <v>-</v>
      </c>
      <c r="H36" s="258" t="str">
        <f>IF(Eingabe!$B$95=TRUE,"Fallen stellen","-")</f>
        <v>-</v>
      </c>
      <c r="I36" s="258"/>
      <c r="J36" s="258"/>
      <c r="K36" s="258"/>
      <c r="L36" s="96" t="s">
        <v>340</v>
      </c>
      <c r="M36" s="218" t="str">
        <f>IF(Eingabe!$B$86=TRUE,Eingabe!$C$86,"-")</f>
        <v>-</v>
      </c>
      <c r="N36" s="218" t="str">
        <f>IF(Eingabe!$B$95=TRUE,Eingabe!$C$95,"-")</f>
        <v>-</v>
      </c>
      <c r="O36" s="258" t="str">
        <f>IF(Eingabe!$D$88=TRUE,"Mathematik","-")</f>
        <v>Mathematik</v>
      </c>
      <c r="P36" s="258"/>
      <c r="Q36" s="258"/>
      <c r="R36" s="258"/>
      <c r="S36" s="96" t="s">
        <v>342</v>
      </c>
      <c r="T36" s="218" t="str">
        <f>IF(Eingabe!$D$88=TRUE,Eingabe!$E$88,"-")</f>
        <v>17</v>
      </c>
      <c r="U36" s="258" t="str">
        <f>IF(Eingabe!$D$95=TRUE,"Fischen","-")</f>
        <v>Fischen</v>
      </c>
      <c r="V36" s="258"/>
      <c r="W36" s="258"/>
      <c r="X36" s="258"/>
      <c r="Y36" s="96" t="s">
        <v>371</v>
      </c>
      <c r="Z36" s="222" t="str">
        <f>IF(Eingabe!$D$95=TRUE,Eingabe!$E$95,"-")</f>
        <v>16</v>
      </c>
    </row>
    <row r="37" spans="2:26" ht="12.75">
      <c r="B37" s="238" t="str">
        <f>Eingabe!B96</f>
        <v>Akrobatik</v>
      </c>
      <c r="C37" s="239"/>
      <c r="D37" s="239"/>
      <c r="E37" s="239"/>
      <c r="F37" s="113" t="str">
        <f>Eingabe!F96</f>
        <v>-</v>
      </c>
      <c r="G37" s="223" t="str">
        <f>Eingabe!C96</f>
        <v>17</v>
      </c>
      <c r="H37" s="239" t="str">
        <f>Eingabe!B97</f>
        <v>Reiten Flugtiere</v>
      </c>
      <c r="I37" s="239"/>
      <c r="J37" s="239"/>
      <c r="K37" s="239"/>
      <c r="L37" s="113" t="str">
        <f>Eingabe!F97</f>
        <v>-</v>
      </c>
      <c r="M37" s="223" t="str">
        <f>IF(Eingabe!$B$86=TRUE,Eingabe!$C$86,"-")</f>
        <v>-</v>
      </c>
      <c r="N37" s="223" t="str">
        <f>Eingabe!C97</f>
        <v>15</v>
      </c>
      <c r="O37" s="239" t="str">
        <f>Eingabe!D96</f>
        <v>-</v>
      </c>
      <c r="P37" s="239"/>
      <c r="Q37" s="239"/>
      <c r="R37" s="239"/>
      <c r="S37" s="113" t="str">
        <f>Eingabe!G96</f>
        <v>-</v>
      </c>
      <c r="T37" s="223" t="str">
        <f>Eingabe!E96</f>
        <v>-</v>
      </c>
      <c r="U37" s="239" t="str">
        <f>Eingabe!D97</f>
        <v>-</v>
      </c>
      <c r="V37" s="239"/>
      <c r="W37" s="239"/>
      <c r="X37" s="239"/>
      <c r="Y37" s="113" t="str">
        <f>Eingabe!F97</f>
        <v>-</v>
      </c>
      <c r="Z37" s="224" t="str">
        <f>Eingabe!E97</f>
        <v>-</v>
      </c>
    </row>
    <row r="38" spans="2:26" ht="12.75">
      <c r="B38" s="225" t="s">
        <v>217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</row>
    <row r="39" spans="2:26" ht="12.75">
      <c r="B39" s="110" t="s">
        <v>207</v>
      </c>
      <c r="C39" s="240">
        <f>Eingabe!B101</f>
      </c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73"/>
      <c r="O39" s="111" t="s">
        <v>213</v>
      </c>
      <c r="P39" s="240">
        <f>Eingabe!E101</f>
      </c>
      <c r="Q39" s="240"/>
      <c r="R39" s="240"/>
      <c r="S39" s="240"/>
      <c r="T39" s="240"/>
      <c r="U39" s="240"/>
      <c r="V39" s="240"/>
      <c r="W39" s="240"/>
      <c r="X39" s="240"/>
      <c r="Y39" s="240"/>
      <c r="Z39" s="273"/>
    </row>
    <row r="40" spans="2:26" ht="12.75">
      <c r="B40" s="95" t="s">
        <v>210</v>
      </c>
      <c r="C40" s="258">
        <f>Eingabe!B102</f>
      </c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74"/>
      <c r="O40" s="96" t="s">
        <v>215</v>
      </c>
      <c r="P40" s="258">
        <f>Eingabe!E102</f>
      </c>
      <c r="Q40" s="258"/>
      <c r="R40" s="258"/>
      <c r="S40" s="258"/>
      <c r="T40" s="258"/>
      <c r="U40" s="258"/>
      <c r="V40" s="258"/>
      <c r="W40" s="258"/>
      <c r="X40" s="258"/>
      <c r="Y40" s="258"/>
      <c r="Z40" s="274"/>
    </row>
    <row r="41" spans="2:26" ht="12.75">
      <c r="B41" s="95" t="s">
        <v>212</v>
      </c>
      <c r="C41" s="258">
        <f>Eingabe!B103</f>
      </c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74"/>
      <c r="O41" s="96" t="s">
        <v>209</v>
      </c>
      <c r="P41" s="258">
        <f>Eingabe!E103</f>
      </c>
      <c r="Q41" s="258"/>
      <c r="R41" s="258"/>
      <c r="S41" s="258"/>
      <c r="T41" s="258"/>
      <c r="U41" s="258"/>
      <c r="V41" s="258"/>
      <c r="W41" s="258"/>
      <c r="X41" s="258"/>
      <c r="Y41" s="258"/>
      <c r="Z41" s="274"/>
    </row>
    <row r="42" spans="2:26" ht="12.75">
      <c r="B42" s="95" t="s">
        <v>214</v>
      </c>
      <c r="C42" s="258">
        <f>Eingabe!B104</f>
      </c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74"/>
      <c r="O42" s="96" t="s">
        <v>216</v>
      </c>
      <c r="P42" s="258">
        <f>Eingabe!E104</f>
      </c>
      <c r="Q42" s="258"/>
      <c r="R42" s="258"/>
      <c r="S42" s="258"/>
      <c r="T42" s="258"/>
      <c r="U42" s="258"/>
      <c r="V42" s="258"/>
      <c r="W42" s="258"/>
      <c r="X42" s="258"/>
      <c r="Y42" s="258"/>
      <c r="Z42" s="274"/>
    </row>
    <row r="43" spans="2:26" ht="12.75">
      <c r="B43" s="95" t="s">
        <v>208</v>
      </c>
      <c r="C43" s="258">
        <f>Eingabe!B105</f>
      </c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74"/>
      <c r="O43" s="96" t="s">
        <v>326</v>
      </c>
      <c r="P43" s="258">
        <f>Eingabe!E105</f>
      </c>
      <c r="Q43" s="258"/>
      <c r="R43" s="258"/>
      <c r="S43" s="258"/>
      <c r="T43" s="258"/>
      <c r="U43" s="258"/>
      <c r="V43" s="258"/>
      <c r="W43" s="258"/>
      <c r="X43" s="258"/>
      <c r="Y43" s="258"/>
      <c r="Z43" s="274"/>
    </row>
    <row r="44" spans="2:26" ht="12.75">
      <c r="B44" s="112" t="s">
        <v>211</v>
      </c>
      <c r="C44" s="239">
        <f>Eingabe!B106</f>
      </c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75"/>
      <c r="O44" s="113" t="s">
        <v>327</v>
      </c>
      <c r="P44" s="239">
        <f>Eingabe!E106</f>
      </c>
      <c r="Q44" s="239"/>
      <c r="R44" s="239"/>
      <c r="S44" s="239"/>
      <c r="T44" s="239"/>
      <c r="U44" s="239"/>
      <c r="V44" s="239"/>
      <c r="W44" s="239"/>
      <c r="X44" s="239"/>
      <c r="Y44" s="239"/>
      <c r="Z44" s="275"/>
    </row>
    <row r="45" spans="2:26" ht="4.5" customHeight="1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</row>
    <row r="46" spans="2:27" ht="12.75">
      <c r="B46" s="265" t="s">
        <v>458</v>
      </c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6"/>
      <c r="O46" s="267" t="s">
        <v>459</v>
      </c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6"/>
      <c r="AA46" s="33"/>
    </row>
    <row r="47" spans="2:26" ht="12.75">
      <c r="B47" s="276" t="str">
        <f>IF(Eingabe!$C$7=3,Daten!A497,IF(Eingabe!$C$7=1,Daten!A504,IF(Eingabe!$C$7=6,Daten!A509,IF(Eingabe!$C$7=2,Daten!A518,IF(Eingabe!$C$7=5,Daten!A527,IF(Eingabe!$C$7=4,Daten!A533,""))))))</f>
        <v>10% Erfahrungspunktebonus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8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14"/>
    </row>
    <row r="48" spans="2:26" ht="12.75">
      <c r="B48" s="47" t="str">
        <f>IF(Eingabe!$C$7=3,Daten!A498,IF(Eingabe!$C$7=1,Daten!A505,IF(Eingabe!$C$7=6,Daten!A510,IF(Eingabe!$C$7=2,Daten!A519,IF(Eingabe!$C$7=5,Daten!A528,IF(Eingabe!$C$7=4,Daten!A534,""))))))</f>
        <v>+2 auf Rettungswürfe verteilbar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279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115"/>
    </row>
    <row r="49" spans="2:26" ht="12.75">
      <c r="B49" s="47" t="str">
        <f>IF(Eingabe!$C$7=3,Daten!A499,IF(Eingabe!$C$7=1,Daten!A506,IF(Eingabe!$C$7=6,Daten!A511,IF(Eingabe!$C$7=2,Daten!A520,IF(Eingabe!$C$7=5,Daten!A529,IF(Eingabe!$C$7=4,Daten!A535,""))))))</f>
        <v>zusätzl. +1 auf 1 Attribut auf LVL 14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279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115"/>
    </row>
    <row r="50" spans="2:26" ht="12.75">
      <c r="B50" s="47">
        <f>IF(Eingabe!$C$7=3,Daten!A500,IF(Eingabe!$C$7=6,Daten!A512,IF(Eingabe!$C$7=2,Daten!A521,IF(Eingabe!$C$7=5,Daten!A530,IF(Eingabe!$C$7=4,Daten!A536,"")))))</f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279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15"/>
    </row>
    <row r="51" spans="2:26" ht="12.75">
      <c r="B51" s="47">
        <f>IF(Eingabe!$C$7=3,Daten!A501,IF(Eingabe!$C$7=6,Daten!A513,IF(Eingabe!$C$7=2,Daten!A522,IF(Eingabe!$C$7=4,Daten!A537,""))))</f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279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115"/>
    </row>
    <row r="52" spans="2:26" ht="12.75">
      <c r="B52" s="47">
        <f>IF(Eingabe!$C$7=6,Daten!A514,IF(Eingabe!$C$7=2,Daten!A523,IF(Eingabe!$C$7=4,Daten!A538,"")))</f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279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15"/>
    </row>
    <row r="53" spans="2:26" ht="12.75"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279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15"/>
    </row>
    <row r="54" spans="2:26" ht="12.75">
      <c r="B54" s="280">
        <f>IF(Eingabe!$C$7=6,Daten!A515,IF(Eingabe!$C$7=2,Daten!A524,IF(Eingabe!$C$7=4,Daten!A539,"")))</f>
      </c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2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7"/>
    </row>
  </sheetData>
  <sheetProtection password="C7D4" sheet="1" objects="1" scenarios="1"/>
  <mergeCells count="64">
    <mergeCell ref="S21:Z21"/>
    <mergeCell ref="O34:R34"/>
    <mergeCell ref="U31:X31"/>
    <mergeCell ref="U33:X33"/>
    <mergeCell ref="U34:X34"/>
    <mergeCell ref="U32:X32"/>
    <mergeCell ref="Y28:Z28"/>
    <mergeCell ref="S26:T26"/>
    <mergeCell ref="U26:V26"/>
    <mergeCell ref="U27:V27"/>
    <mergeCell ref="Q21:R23"/>
    <mergeCell ref="O21:P21"/>
    <mergeCell ref="K22:N22"/>
    <mergeCell ref="K23:N23"/>
    <mergeCell ref="I21:L21"/>
    <mergeCell ref="S28:T28"/>
    <mergeCell ref="U28:V28"/>
    <mergeCell ref="S27:T27"/>
    <mergeCell ref="U30:X30"/>
    <mergeCell ref="O30:R30"/>
    <mergeCell ref="O31:R31"/>
    <mergeCell ref="O32:R32"/>
    <mergeCell ref="B31:E31"/>
    <mergeCell ref="B32:E32"/>
    <mergeCell ref="H32:K32"/>
    <mergeCell ref="H31:K31"/>
    <mergeCell ref="U37:X37"/>
    <mergeCell ref="H34:K34"/>
    <mergeCell ref="H33:K33"/>
    <mergeCell ref="O35:R35"/>
    <mergeCell ref="O36:R36"/>
    <mergeCell ref="U36:X36"/>
    <mergeCell ref="U35:X35"/>
    <mergeCell ref="H35:K35"/>
    <mergeCell ref="O37:R37"/>
    <mergeCell ref="O33:R33"/>
    <mergeCell ref="H3:I3"/>
    <mergeCell ref="B37:E37"/>
    <mergeCell ref="H37:K37"/>
    <mergeCell ref="H30:K30"/>
    <mergeCell ref="B30:E30"/>
    <mergeCell ref="B33:E33"/>
    <mergeCell ref="B28:G28"/>
    <mergeCell ref="J3:K3"/>
    <mergeCell ref="B26:G26"/>
    <mergeCell ref="B27:G27"/>
    <mergeCell ref="B35:E35"/>
    <mergeCell ref="B36:E36"/>
    <mergeCell ref="B34:E34"/>
    <mergeCell ref="H36:K36"/>
    <mergeCell ref="B46:N46"/>
    <mergeCell ref="O46:Z46"/>
    <mergeCell ref="C39:N39"/>
    <mergeCell ref="C40:N40"/>
    <mergeCell ref="C41:N41"/>
    <mergeCell ref="C42:N42"/>
    <mergeCell ref="C43:N43"/>
    <mergeCell ref="C44:N44"/>
    <mergeCell ref="P43:Z43"/>
    <mergeCell ref="P44:Z44"/>
    <mergeCell ref="P39:Z39"/>
    <mergeCell ref="P40:Z40"/>
    <mergeCell ref="P41:Z41"/>
    <mergeCell ref="P42:Z42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3"/>
  <headerFooter alignWithMargins="0">
    <oddFooter>&amp;L&amp;"Arial,Kursiv"&amp;8AD &amp; D 2nd Edition&amp;C&amp;"Arial,Fett"Charakter-Bogen-Generator&amp;R&amp;"Arial,Kursiv"&amp;8Copyrights RC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K583"/>
  <sheetViews>
    <sheetView workbookViewId="0" topLeftCell="A549">
      <selection activeCell="A549" sqref="A1:IV16384"/>
    </sheetView>
  </sheetViews>
  <sheetFormatPr defaultColWidth="11.421875" defaultRowHeight="12.75"/>
  <cols>
    <col min="1" max="1" width="23.28125" style="164" customWidth="1"/>
    <col min="2" max="2" width="25.421875" style="164" bestFit="1" customWidth="1"/>
    <col min="3" max="3" width="23.57421875" style="164" bestFit="1" customWidth="1"/>
    <col min="4" max="4" width="13.28125" style="164" customWidth="1"/>
    <col min="5" max="5" width="13.421875" style="164" bestFit="1" customWidth="1"/>
    <col min="6" max="16384" width="11.421875" style="164" customWidth="1"/>
  </cols>
  <sheetData>
    <row r="1" spans="1:11" ht="12.75">
      <c r="A1" s="164">
        <v>0</v>
      </c>
      <c r="B1" s="164" t="s">
        <v>64</v>
      </c>
      <c r="D1" s="164" t="s">
        <v>0</v>
      </c>
      <c r="E1" s="164" t="s">
        <v>1</v>
      </c>
      <c r="F1" s="164" t="s">
        <v>2</v>
      </c>
      <c r="G1" s="164" t="s">
        <v>3</v>
      </c>
      <c r="H1" s="164" t="s">
        <v>4</v>
      </c>
      <c r="I1" s="164" t="s">
        <v>5</v>
      </c>
      <c r="J1" s="164" t="s">
        <v>6</v>
      </c>
      <c r="K1" s="164" t="s">
        <v>7</v>
      </c>
    </row>
    <row r="2" spans="1:11" ht="12.75">
      <c r="A2" s="164">
        <v>1</v>
      </c>
      <c r="B2" s="164" t="s">
        <v>8</v>
      </c>
      <c r="C2" s="164">
        <v>1</v>
      </c>
      <c r="D2" s="164">
        <v>1</v>
      </c>
      <c r="E2" s="164">
        <v>1</v>
      </c>
      <c r="F2" s="164">
        <v>1</v>
      </c>
      <c r="G2" s="164">
        <v>9</v>
      </c>
      <c r="H2" s="164">
        <v>1</v>
      </c>
      <c r="I2" s="164">
        <v>1</v>
      </c>
      <c r="J2" s="164">
        <v>4</v>
      </c>
      <c r="K2" s="164">
        <v>1</v>
      </c>
    </row>
    <row r="3" spans="1:11" ht="12.75">
      <c r="A3" s="164">
        <v>2</v>
      </c>
      <c r="B3" s="164" t="s">
        <v>9</v>
      </c>
      <c r="C3" s="164">
        <v>2</v>
      </c>
      <c r="D3" s="164">
        <v>1</v>
      </c>
      <c r="E3" s="164">
        <v>1</v>
      </c>
      <c r="F3" s="164">
        <v>1</v>
      </c>
      <c r="G3" s="164">
        <v>1</v>
      </c>
      <c r="H3" s="164">
        <v>9</v>
      </c>
      <c r="I3" s="164">
        <v>1</v>
      </c>
      <c r="J3" s="164">
        <v>8</v>
      </c>
      <c r="K3" s="164">
        <v>2</v>
      </c>
    </row>
    <row r="4" spans="1:11" ht="12.75">
      <c r="A4" s="164">
        <v>3</v>
      </c>
      <c r="B4" s="164" t="s">
        <v>10</v>
      </c>
      <c r="C4" s="164">
        <v>3</v>
      </c>
      <c r="D4" s="164">
        <v>1</v>
      </c>
      <c r="E4" s="164">
        <v>1</v>
      </c>
      <c r="F4" s="164">
        <v>11</v>
      </c>
      <c r="G4" s="164">
        <v>12</v>
      </c>
      <c r="H4" s="164">
        <v>15</v>
      </c>
      <c r="I4" s="164">
        <v>1</v>
      </c>
      <c r="J4" s="164">
        <v>6</v>
      </c>
      <c r="K4" s="164">
        <v>2</v>
      </c>
    </row>
    <row r="5" spans="1:11" ht="12.75">
      <c r="A5" s="164">
        <v>4</v>
      </c>
      <c r="B5" s="164" t="s">
        <v>11</v>
      </c>
      <c r="C5" s="164">
        <v>4</v>
      </c>
      <c r="D5" s="164">
        <v>1</v>
      </c>
      <c r="E5" s="164">
        <v>9</v>
      </c>
      <c r="F5" s="164">
        <v>1</v>
      </c>
      <c r="G5" s="164">
        <v>1</v>
      </c>
      <c r="H5" s="164">
        <v>1</v>
      </c>
      <c r="I5" s="164">
        <v>1</v>
      </c>
      <c r="J5" s="164">
        <v>6</v>
      </c>
      <c r="K5" s="164">
        <v>2</v>
      </c>
    </row>
    <row r="6" spans="1:11" ht="12.75">
      <c r="A6" s="164">
        <v>5</v>
      </c>
      <c r="B6" s="164" t="s">
        <v>12</v>
      </c>
      <c r="C6" s="164">
        <v>5</v>
      </c>
      <c r="D6" s="164">
        <v>9</v>
      </c>
      <c r="E6" s="164">
        <v>1</v>
      </c>
      <c r="F6" s="164">
        <v>1</v>
      </c>
      <c r="G6" s="164">
        <v>1</v>
      </c>
      <c r="H6" s="164">
        <v>1</v>
      </c>
      <c r="I6" s="164">
        <v>1</v>
      </c>
      <c r="J6" s="164">
        <v>10</v>
      </c>
      <c r="K6" s="164">
        <v>3</v>
      </c>
    </row>
    <row r="7" spans="1:11" ht="12.75">
      <c r="A7" s="164">
        <v>6</v>
      </c>
      <c r="B7" s="164" t="s">
        <v>13</v>
      </c>
      <c r="C7" s="164">
        <v>6</v>
      </c>
      <c r="D7" s="164">
        <v>12</v>
      </c>
      <c r="E7" s="164">
        <v>1</v>
      </c>
      <c r="F7" s="164">
        <v>9</v>
      </c>
      <c r="G7" s="164">
        <v>12</v>
      </c>
      <c r="H7" s="164">
        <v>13</v>
      </c>
      <c r="I7" s="164">
        <v>17</v>
      </c>
      <c r="J7" s="164">
        <v>10</v>
      </c>
      <c r="K7" s="164">
        <v>3</v>
      </c>
    </row>
    <row r="8" spans="1:11" ht="12.75">
      <c r="A8" s="164">
        <v>7</v>
      </c>
      <c r="B8" s="164" t="s">
        <v>23</v>
      </c>
      <c r="C8" s="164">
        <v>7</v>
      </c>
      <c r="D8" s="164">
        <v>14</v>
      </c>
      <c r="E8" s="164">
        <v>1</v>
      </c>
      <c r="F8" s="164">
        <v>17</v>
      </c>
      <c r="G8" s="164">
        <v>1</v>
      </c>
      <c r="H8" s="164">
        <v>1</v>
      </c>
      <c r="I8" s="164">
        <v>1</v>
      </c>
      <c r="J8" s="164">
        <v>12</v>
      </c>
      <c r="K8" s="164">
        <v>4</v>
      </c>
    </row>
    <row r="9" spans="1:11" ht="12.75">
      <c r="A9" s="164">
        <v>8</v>
      </c>
      <c r="B9" s="164" t="s">
        <v>14</v>
      </c>
      <c r="C9" s="164">
        <v>8</v>
      </c>
      <c r="D9" s="164">
        <v>13</v>
      </c>
      <c r="E9" s="164">
        <v>13</v>
      </c>
      <c r="F9" s="164">
        <v>14</v>
      </c>
      <c r="G9" s="164">
        <v>1</v>
      </c>
      <c r="H9" s="164">
        <v>14</v>
      </c>
      <c r="I9" s="164">
        <v>1</v>
      </c>
      <c r="J9" s="164">
        <v>10</v>
      </c>
      <c r="K9" s="164">
        <v>3</v>
      </c>
    </row>
    <row r="10" spans="1:11" ht="12.75">
      <c r="A10" s="164">
        <v>9</v>
      </c>
      <c r="B10" s="164" t="s">
        <v>15</v>
      </c>
      <c r="C10" s="164">
        <v>9</v>
      </c>
      <c r="D10" s="164">
        <v>1</v>
      </c>
      <c r="E10" s="164">
        <v>1</v>
      </c>
      <c r="F10" s="164">
        <v>1</v>
      </c>
      <c r="G10" s="164">
        <v>9</v>
      </c>
      <c r="H10" s="164">
        <v>9</v>
      </c>
      <c r="I10" s="164">
        <v>1</v>
      </c>
      <c r="J10" s="164">
        <v>6</v>
      </c>
      <c r="K10" s="164">
        <v>3</v>
      </c>
    </row>
    <row r="11" spans="1:11" ht="12.75">
      <c r="A11" s="164">
        <v>10</v>
      </c>
      <c r="B11" s="164" t="s">
        <v>16</v>
      </c>
      <c r="C11" s="164">
        <v>10</v>
      </c>
      <c r="D11" s="164">
        <v>9</v>
      </c>
      <c r="E11" s="164">
        <v>1</v>
      </c>
      <c r="F11" s="164">
        <v>1</v>
      </c>
      <c r="G11" s="164">
        <v>9</v>
      </c>
      <c r="H11" s="164">
        <v>1</v>
      </c>
      <c r="I11" s="164">
        <v>1</v>
      </c>
      <c r="J11" s="164">
        <v>7</v>
      </c>
      <c r="K11" s="164">
        <v>4</v>
      </c>
    </row>
    <row r="12" spans="1:11" ht="12.75">
      <c r="A12" s="164">
        <v>11</v>
      </c>
      <c r="B12" s="164" t="s">
        <v>17</v>
      </c>
      <c r="C12" s="164">
        <v>11</v>
      </c>
      <c r="D12" s="164">
        <v>1</v>
      </c>
      <c r="E12" s="164">
        <v>1</v>
      </c>
      <c r="F12" s="164">
        <v>11</v>
      </c>
      <c r="G12" s="164">
        <v>12</v>
      </c>
      <c r="H12" s="164">
        <v>15</v>
      </c>
      <c r="I12" s="164">
        <v>1</v>
      </c>
      <c r="J12" s="164">
        <v>5</v>
      </c>
      <c r="K12" s="164">
        <v>3</v>
      </c>
    </row>
    <row r="13" spans="1:11" ht="12.75">
      <c r="A13" s="164">
        <v>12</v>
      </c>
      <c r="B13" s="164" t="s">
        <v>18</v>
      </c>
      <c r="C13" s="164">
        <v>12</v>
      </c>
      <c r="D13" s="164">
        <v>1</v>
      </c>
      <c r="E13" s="164">
        <v>9</v>
      </c>
      <c r="F13" s="164">
        <v>1</v>
      </c>
      <c r="G13" s="164">
        <v>9</v>
      </c>
      <c r="H13" s="164">
        <v>1</v>
      </c>
      <c r="I13" s="164">
        <v>1</v>
      </c>
      <c r="J13" s="164">
        <v>5</v>
      </c>
      <c r="K13" s="164">
        <v>3</v>
      </c>
    </row>
    <row r="14" spans="1:11" ht="12.75">
      <c r="A14" s="164">
        <v>13</v>
      </c>
      <c r="B14" s="164" t="s">
        <v>19</v>
      </c>
      <c r="C14" s="164">
        <v>13</v>
      </c>
      <c r="D14" s="164">
        <v>9</v>
      </c>
      <c r="E14" s="164">
        <v>1</v>
      </c>
      <c r="F14" s="164">
        <v>1</v>
      </c>
      <c r="G14" s="164">
        <v>1</v>
      </c>
      <c r="H14" s="164">
        <v>9</v>
      </c>
      <c r="I14" s="164">
        <v>1</v>
      </c>
      <c r="J14" s="164">
        <v>9</v>
      </c>
      <c r="K14" s="164">
        <v>5</v>
      </c>
    </row>
    <row r="15" spans="1:11" ht="12.75">
      <c r="A15" s="164">
        <v>14</v>
      </c>
      <c r="B15" s="164" t="s">
        <v>20</v>
      </c>
      <c r="C15" s="164">
        <v>14</v>
      </c>
      <c r="D15" s="164">
        <v>9</v>
      </c>
      <c r="E15" s="164">
        <v>1</v>
      </c>
      <c r="F15" s="164">
        <v>11</v>
      </c>
      <c r="G15" s="164">
        <v>12</v>
      </c>
      <c r="H15" s="164">
        <v>15</v>
      </c>
      <c r="I15" s="164">
        <v>1</v>
      </c>
      <c r="J15" s="164">
        <v>8</v>
      </c>
      <c r="K15" s="164">
        <v>5</v>
      </c>
    </row>
    <row r="16" spans="1:11" ht="12.75">
      <c r="A16" s="164">
        <v>15</v>
      </c>
      <c r="B16" s="164" t="s">
        <v>21</v>
      </c>
      <c r="C16" s="164">
        <v>15</v>
      </c>
      <c r="D16" s="164">
        <v>1</v>
      </c>
      <c r="E16" s="164">
        <v>1</v>
      </c>
      <c r="F16" s="164">
        <v>11</v>
      </c>
      <c r="G16" s="164">
        <v>12</v>
      </c>
      <c r="H16" s="164">
        <v>15</v>
      </c>
      <c r="I16" s="164">
        <v>1</v>
      </c>
      <c r="J16" s="164">
        <v>7</v>
      </c>
      <c r="K16" s="164">
        <v>4</v>
      </c>
    </row>
    <row r="17" spans="1:11" ht="12.75">
      <c r="A17" s="164">
        <v>16</v>
      </c>
      <c r="B17" s="164" t="s">
        <v>22</v>
      </c>
      <c r="C17" s="164">
        <v>16</v>
      </c>
      <c r="D17" s="164">
        <v>1</v>
      </c>
      <c r="E17" s="164">
        <v>9</v>
      </c>
      <c r="F17" s="164">
        <v>11</v>
      </c>
      <c r="G17" s="164">
        <v>12</v>
      </c>
      <c r="H17" s="164">
        <v>15</v>
      </c>
      <c r="I17" s="164">
        <v>1</v>
      </c>
      <c r="J17" s="164">
        <v>6</v>
      </c>
      <c r="K17" s="164">
        <v>4</v>
      </c>
    </row>
    <row r="20" spans="1:4" ht="12.75">
      <c r="A20" s="164" t="str">
        <f>IF($A$21=0,"-",99)</f>
        <v>-</v>
      </c>
      <c r="B20" s="164">
        <f>IF(Eingabe!$C$9=1,VLOOKUP(Eingabe!C11,Daten!$C$41:$I$55,2),IF(Eingabe!$C$9=2,VLOOKUP(Eingabe!C11,Daten!$C$57:$I$71,2),IF(Eingabe!$C$9=3,VLOOKUP(Eingabe!C11,Daten!$C$73:$I$87,2),IF(Eingabe!$C$9=4,VLOOKUP(Eingabe!C11,Daten!$C$89:$I$104,2),IF(Eingabe!$C$9=5,VLOOKUP(Eingabe!C11,Daten!$C$105:$I$119,2),IF(Eingabe!$C$9=6,VLOOKUP(Eingabe!C11,Daten!$C$105:$I$119,2),IF(Eingabe!$C$9=7,VLOOKUP(Eingabe!C11,Daten!$C$105:$I$119,2))))))))</f>
        <v>11</v>
      </c>
      <c r="C20" s="164" t="b">
        <f>IF(B20=FALSE,IF(Eingabe!$C$9=8,VLOOKUP(Eingabe!#REF!,Daten!$C$57:$H$71,2),IF(Eingabe!C$9=9,VLOOKUP(Eingabe!C11,Daten!$C$105:$H$119,2),IF(Eingabe!$C$9=10,VLOOKUP(Eingabe!#REF!,Daten!$C$73:$H$87,2),IF(Eingabe!$C$9=11,VLOOKUP(Eingabe!C11,Daten!$C$89:$H$104,2),IF(Eingabe!$C$9=12,VLOOKUP(Eingabe!C11,Daten!$C$105:$H$119,2),IF(Eingabe!$C$9=13,VLOOKUP(Eingabe!C11,Daten!$C$105:$H$119,2))))))))</f>
        <v>0</v>
      </c>
      <c r="D20" s="164" t="b">
        <f>IF(C20=FALSE,IF(Eingabe!$C$9=14,VLOOKUP(Eingabe!C11,Daten!$C$57:$H$71,2),IF(Eingabe!$C$9=15,VLOOKUP(Eingabe!C11,Daten!$C$73:$I$87,2),IF(Eingabe!$C$9=16,VLOOKUP(Eingabe!C11,Daten!$C$105:$I$119,2)))))</f>
        <v>0</v>
      </c>
    </row>
    <row r="21" spans="2:4" ht="12.75">
      <c r="B21" s="164">
        <f>IF(Eingabe!$C$9=1,VLOOKUP(Eingabe!C11,Daten!$C$41:$I$55,3),IF(Eingabe!$C$9=2,VLOOKUP(Eingabe!C11,Daten!$C$57:$I$71,3),IF(Eingabe!$C$9=3,VLOOKUP(Eingabe!C11,Daten!$C$73:$I$87,3),IF(Eingabe!$C$9=4,VLOOKUP(Eingabe!C11,Daten!$C$89:$I$104,3),IF(Eingabe!$C$9=5,VLOOKUP(Eingabe!C11,Daten!$C$105:$I$119,3),IF(Eingabe!$C$9=6,VLOOKUP(Eingabe!C11,Daten!$C$105:$I$119,3),IF(Eingabe!$C$9=7,VLOOKUP(Eingabe!C11,Daten!$C$105:$I$119,3))))))))</f>
        <v>13</v>
      </c>
      <c r="C21" s="164" t="b">
        <f>IF(B21=FALSE,IF(Eingabe!$C$9=8,VLOOKUP(Eingabe!C11,Daten!$C$57:$H$71,3),IF(Eingabe!C$9=9,VLOOKUP(Eingabe!C11,Daten!$C$105:$H$119,3),IF(Eingabe!$C$9=10,VLOOKUP(Eingabe!C11,Daten!$C$73:$H$87,3),IF(Eingabe!$C$9=11,VLOOKUP(Eingabe!C11,Daten!$C$89:$H$104,3),IF(Eingabe!$C$9=12,VLOOKUP(Eingabe!C11,Daten!$C$105:$H$119,3),IF(Eingabe!$C$9=13,VLOOKUP(Eingabe!C11,Daten!$C$105:$H$119,3))))))))</f>
        <v>0</v>
      </c>
      <c r="D21" s="164" t="b">
        <f>IF(C21=FALSE,IF(Eingabe!$C$9=14,VLOOKUP(Eingabe!C11,Daten!$C$57:$H$71,3),IF(Eingabe!$C$9=15,VLOOKUP(Eingabe!C11,Daten!$C$73:$I$87,3),IF(Eingabe!$C$9=16,VLOOKUP(Eingabe!C11,Daten!$C$105:$I$119,3)))))</f>
        <v>0</v>
      </c>
    </row>
    <row r="22" spans="2:4" ht="12.75">
      <c r="B22" s="164">
        <f>IF(Eingabe!$C$9=1,VLOOKUP(Eingabe!C11,Daten!$C$41:$I$55,4),IF(Eingabe!$C$9=2,VLOOKUP(Eingabe!C11,Daten!$C$57:$I$71,4),IF(Eingabe!$C$9=3,VLOOKUP(Eingabe!C11,Daten!$C$73:$I$87,4),IF(Eingabe!$C$9=4,VLOOKUP(Eingabe!C11,Daten!$C$89:$I$104,4),IF(Eingabe!$C$9=5,VLOOKUP(Eingabe!C11,Daten!$C$105:$I$119,4),IF(Eingabe!$C$9=6,VLOOKUP(Eingabe!C11,Daten!$C$105:$I$119,4),IF(Eingabe!$C$9=7,VLOOKUP(Eingabe!C11,Daten!$C$105:$I$119,4))))))))</f>
        <v>12</v>
      </c>
      <c r="C22" s="164" t="b">
        <f>IF(B22=FALSE,IF(Eingabe!$C$9=8,VLOOKUP(Eingabe!C11,Daten!$C$57:$H$71,4),IF(Eingabe!C$9=9,VLOOKUP(Eingabe!C11,Daten!$C$105:$H$119,4),IF(Eingabe!$C$9=10,VLOOKUP(Eingabe!C11,Daten!$C$73:$H$87,4),IF(Eingabe!$C$9=11,VLOOKUP(Eingabe!C11,Daten!$C$89:$H$104,4),IF(Eingabe!$C$9=12,VLOOKUP(Eingabe!C11,Daten!$C$105:$H$119,4),IF(Eingabe!$C$9=13,VLOOKUP(Eingabe!C11,Daten!$C$105:$H$119,4))))))))</f>
        <v>0</v>
      </c>
      <c r="D22" s="164" t="b">
        <f>IF(C22=FALSE,IF(Eingabe!$C$9=14,VLOOKUP(Eingabe!C11,Daten!$C$57:$H$71,4),IF(Eingabe!$C$9=15,VLOOKUP(Eingabe!C11,Daten!$C$73:$I$87,4),IF(Eingabe!$C$9=16,VLOOKUP(Eingabe!C11,Daten!$C$105:$I$119,4)))))</f>
        <v>0</v>
      </c>
    </row>
    <row r="23" spans="2:4" ht="12.75">
      <c r="B23" s="164">
        <f>IF(Eingabe!$C$9=1,VLOOKUP(Eingabe!C11,Daten!$C$41:$I$55,5),IF(Eingabe!$C$9=2,VLOOKUP(Eingabe!C11,Daten!$C$57:$H$71,5),IF(Eingabe!$C$9=3,VLOOKUP(Eingabe!C11,Daten!$C$73:$I$87,5),IF(Eingabe!$C$9=4,VLOOKUP(Eingabe!C11,Daten!$C$89:$I$104,5),IF(Eingabe!$C$9=5,VLOOKUP(Eingabe!C11,Daten!$C$105:$I$119,5),IF(Eingabe!$C$9=6,VLOOKUP(Eingabe!C11,Daten!$C$105:$I$119,5),IF(Eingabe!$C$9=7,VLOOKUP(Eingabe!C11,Daten!$C$105:$I$119,5))))))))</f>
        <v>13</v>
      </c>
      <c r="C23" s="164" t="b">
        <f>IF(B23=FALSE,IF(Eingabe!$C$9=8,VLOOKUP(Eingabe!#REF!,Daten!$C$57:$H$71,5),IF(Eingabe!C$9=9,VLOOKUP(Eingabe!C11,Daten!$C$105:$H$119,5),IF(Eingabe!$C$9=10,VLOOKUP(Eingabe!C11,Daten!$C$73:$H$87,5),IF(Eingabe!$C$9=11,VLOOKUP(Eingabe!C11,Daten!$C$89:$H$104,5),IF(Eingabe!$C$9=12,VLOOKUP(Eingabe!C11,Daten!$C$105:$H$119,5),IF(Eingabe!$C$9=13,VLOOKUP(Eingabe!C11,Daten!$C$105:$H$119,5))))))))</f>
        <v>0</v>
      </c>
      <c r="D23" s="164" t="b">
        <f>IF(C23=FALSE,IF(Eingabe!$C$9=14,VLOOKUP(Eingabe!C11,Daten!$C$57:$H$71,5),IF(Eingabe!$C$9=15,VLOOKUP(Eingabe!C11,Daten!$C$73:$H$87,5),IF(Eingabe!$C$9=16,VLOOKUP(Eingabe!C11,Daten!$C$105:$H$119,5)))))</f>
        <v>0</v>
      </c>
    </row>
    <row r="24" spans="2:4" ht="12.75">
      <c r="B24" s="164">
        <f>IF(Eingabe!$C$9=1,VLOOKUP(Eingabe!C11,Daten!$C$41:$I$55,6),IF(Eingabe!$C$9=2,VLOOKUP(Eingabe!C11,Daten!$C$57:$I$71,6),IF(Eingabe!$C$9=3,VLOOKUP(Eingabe!C11,Daten!$C$73:$I$87,6),IF(Eingabe!$C$9=4,VLOOKUP(Eingabe!C11,Daten!$C$89:$I$104,6),IF(Eingabe!$C$9=5,VLOOKUP(Eingabe!C11,Daten!$C$105:$I$119,6),IF(Eingabe!$C$9=6,VLOOKUP(Eingabe!C11,Daten!$C$105:$I$119,6),IF(Eingabe!$C$9=7,VLOOKUP(Eingabe!C11,Daten!$C$105:$I$119,6))))))))</f>
        <v>14</v>
      </c>
      <c r="C24" s="164" t="b">
        <f>IF(B24=FALSE,IF(Eingabe!$C$9=8,VLOOKUP(Eingabe!C11,Daten!$C$57:$H$71,6),IF(Eingabe!C$9=9,VLOOKUP(Eingabe!C11,Daten!$C$105:$H$119,6),IF(Eingabe!$C$9=10,VLOOKUP(Eingabe!C11,Daten!$C$73:$H$87,6),IF(Eingabe!$C$9=11,VLOOKUP(Eingabe!C11,Daten!$C$89:$H$104,6),IF(Eingabe!$C$9=12,VLOOKUP(Eingabe!C11,Daten!$C$105:$H$119,6),IF(Eingabe!$C$9=13,VLOOKUP(Eingabe!C11,Daten!$C$105:$H$119,6))))))))</f>
        <v>0</v>
      </c>
      <c r="D24" s="164" t="b">
        <f>IF(C24=FALSE,IF(Eingabe!$C$9=14,VLOOKUP(Eingabe!C11,Daten!$C$57:$H$71,6),IF(Eingabe!$C$9=15,VLOOKUP(Eingabe!C11,Daten!$C$73:$H$87,6),IF(Eingabe!$C$9=16,VLOOKUP(Eingabe!C11,Daten!$C$105:$H$119,6)))))</f>
        <v>0</v>
      </c>
    </row>
    <row r="25" spans="1:2" ht="12.75">
      <c r="A25" s="164" t="s">
        <v>24</v>
      </c>
      <c r="B25" s="164">
        <f>IF(Daten!B24=FALSE,IF(Daten!C24=FALSE,Daten!D24,Daten!C24),Daten!B24)</f>
        <v>14</v>
      </c>
    </row>
    <row r="27" spans="1:6" ht="12.75">
      <c r="A27" s="164" t="s">
        <v>25</v>
      </c>
      <c r="B27" s="164">
        <f>IF(Eingabe!$C$9=1,VLOOKUP(Eingabe!#REF!,Daten!$C$41:$J$55,8),IF(Eingabe!$C$9=2,VLOOKUP(Eingabe!C11,Daten!$C$57:$J$71,8),IF(Eingabe!$C$9=3,VLOOKUP(Eingabe!C11,Daten!$C$73:$J$87,8),IF(Eingabe!$C$9=4,VLOOKUP(Eingabe!C11,Daten!$C$89:$J$104,9),IF(Eingabe!$C$9=5,VLOOKUP(Eingabe!C11,Daten!$C$105:$K$119,9),IF(Eingabe!$C$9=6,VLOOKUP(Eingabe!C11,Daten!$C$105:$J$119,8),IF(Eingabe!$C$9=7,VLOOKUP(Eingabe!C11,Daten!$C$105:$J$119,8))))))))</f>
        <v>36000</v>
      </c>
      <c r="C27" s="164" t="b">
        <f>IF(B27=FALSE,IF(Eingabe!$C$9=8,VLOOKUP(Eingabe!C11,Daten!$C$57:$J$71,8),IF(Eingabe!C$9=9,VLOOKUP(Eingabe!C11,Daten!$C$105:$K$119,9),IF(Eingabe!$C$9=10,VLOOKUP(Eingabe!C11,Daten!$C$73:$J$87,8),IF(Eingabe!$C$9=11,VLOOKUP(Eingabe!C11,Daten!$C$89:$J$104,8),IF(Eingabe!$C$9=12,VLOOKUP(Eingabe!C11,Daten!$C$105:$K$119,9),IF(Eingabe!$C$9=13,VLOOKUP(Eingabe!C11,Daten!$C$105:$K$119,9))))))))</f>
        <v>0</v>
      </c>
      <c r="D27" s="164" t="b">
        <f>IF(C27=FALSE,IF(Eingabe!$C$9=14,VLOOKUP(Eingabe!C11,Daten!$C$57:$J$71,8),IF(Eingabe!$C$9=15,VLOOKUP(Eingabe!C11,Daten!$C$73:$J$87,8),IF(Eingabe!$C$9=16,VLOOKUP(Eingabe!C11,Daten!$C$105:$K$119,9)))))</f>
        <v>0</v>
      </c>
      <c r="E27" s="164">
        <v>1</v>
      </c>
      <c r="F27" s="164" t="s">
        <v>26</v>
      </c>
    </row>
    <row r="28" spans="5:6" ht="12.75">
      <c r="E28" s="164">
        <v>2</v>
      </c>
      <c r="F28" s="164" t="s">
        <v>27</v>
      </c>
    </row>
    <row r="29" spans="1:4" ht="12.75">
      <c r="A29" s="164" t="s">
        <v>28</v>
      </c>
      <c r="B29" s="283">
        <f>IF(Eingabe!$C$9=1,VLOOKUP(Eingabe!C11+1,Daten!$C$41:$I$55,7),IF(Eingabe!$C$9=2,VLOOKUP(Eingabe!C11+1,Daten!$C$57:$I$71,7),IF(Eingabe!$C$9=3,VLOOKUP(Eingabe!C11+1,Daten!$C$73:$I$87,7),IF(Eingabe!$C$9=4,VLOOKUP(Eingabe!C11+1,Daten!$C$89:$I$104,7),IF(Eingabe!$C$9=5,VLOOKUP(Eingabe!C11+1,Daten!$C$105:$I$119,7),IF(Eingabe!$C$9=6,VLOOKUP(Eingabe!C11+1,Daten!$C$105:$I$119,7),IF(Eingabe!$C$9=7,VLOOKUP(Eingabe!C11+1,$C$105:$J$119,8))))))))</f>
        <v>75000</v>
      </c>
      <c r="C29" s="164" t="b">
        <f>IF(B29=FALSE,IF(Eingabe!$C$9=8,VLOOKUP(Eingabe!C11,Daten!$C$57:$J$71,7),IF(Eingabe!C$9=9,VLOOKUP(Eingabe!C11,Daten!$C$105:$K$119,7),IF(Eingabe!$C$9=10,VLOOKUP(Eingabe!C11,Daten!$C$73:$J$87,7),IF(Eingabe!$C$9=11,VLOOKUP(Eingabe!C11,Daten!$C$89:$J$104,7),IF(Eingabe!$C$9=12,VLOOKUP(Eingabe!C11,Daten!$C$105:$K$119,7),IF(Eingabe!$C$9=13,VLOOKUP(Eingabe!C11,Daten!$C$105:$K$119,7))))))))</f>
        <v>0</v>
      </c>
      <c r="D29" s="164" t="b">
        <f>IF(C27=FALSE,IF(Eingabe!$C$9=14,VLOOKUP(Eingabe!C11,Daten!$C$57:$J$71,7),IF(Eingabe!D$9=15,VLOOKUP(Eingabe!C11,Daten!$C$105:$K$119,7))))</f>
        <v>0</v>
      </c>
    </row>
    <row r="30" spans="1:2" ht="12.75">
      <c r="A30" s="164" t="s">
        <v>29</v>
      </c>
      <c r="B30" s="164" t="b">
        <f>IF(Eingabe!$C$9=1,VLOOKUP(Eingabe!D11+1,Daten!$C$41:$I$55,7),IF(Eingabe!$C$9=2,VLOOKUP(Eingabe!D11+1,Daten!$C$57:$I$71,7),IF(Eingabe!$C$9=3,VLOOKUP(Eingabe!D11+1,Daten!$C$73:$I$87,7),IF(Eingabe!$C$9=4,VLOOKUP(Eingabe!D11+1,Daten!$C$89:$I$104,7),IF(Eingabe!$C$9=5,VLOOKUP(Eingabe!D11+1,Daten!$C$105:$I$119,7))))))</f>
        <v>0</v>
      </c>
    </row>
    <row r="32" spans="1:11" ht="12.75">
      <c r="A32" s="164" t="s">
        <v>30</v>
      </c>
      <c r="D32" s="164" t="s">
        <v>31</v>
      </c>
      <c r="E32" s="164" t="s">
        <v>1</v>
      </c>
      <c r="F32" s="164" t="s">
        <v>2</v>
      </c>
      <c r="G32" s="164" t="s">
        <v>3</v>
      </c>
      <c r="H32" s="164" t="s">
        <v>32</v>
      </c>
      <c r="I32" s="164" t="s">
        <v>33</v>
      </c>
      <c r="J32" s="164" t="s">
        <v>34</v>
      </c>
      <c r="K32" s="164" t="s">
        <v>35</v>
      </c>
    </row>
    <row r="33" spans="1:11" ht="12.75">
      <c r="A33" s="164">
        <v>1</v>
      </c>
      <c r="B33" s="164" t="s">
        <v>36</v>
      </c>
      <c r="C33" s="164">
        <v>1</v>
      </c>
      <c r="D33" s="164">
        <v>0</v>
      </c>
      <c r="E33" s="164">
        <v>0</v>
      </c>
      <c r="F33" s="164">
        <v>0</v>
      </c>
      <c r="G33" s="164">
        <v>0</v>
      </c>
      <c r="H33" s="164">
        <v>0</v>
      </c>
      <c r="I33" s="164">
        <v>0</v>
      </c>
      <c r="J33" s="164">
        <v>130</v>
      </c>
      <c r="K33" s="164">
        <v>10</v>
      </c>
    </row>
    <row r="34" spans="1:11" ht="12.75">
      <c r="A34" s="164">
        <v>2</v>
      </c>
      <c r="B34" s="164" t="s">
        <v>37</v>
      </c>
      <c r="C34" s="164">
        <v>2</v>
      </c>
      <c r="D34" s="164">
        <v>0</v>
      </c>
      <c r="E34" s="164">
        <v>0</v>
      </c>
      <c r="F34" s="164">
        <v>1</v>
      </c>
      <c r="G34" s="164">
        <v>0</v>
      </c>
      <c r="H34" s="164">
        <v>0</v>
      </c>
      <c r="I34" s="164">
        <v>-1</v>
      </c>
      <c r="J34" s="164">
        <v>450</v>
      </c>
      <c r="K34" s="164">
        <v>6</v>
      </c>
    </row>
    <row r="35" spans="1:11" ht="12.75">
      <c r="A35" s="164">
        <v>3</v>
      </c>
      <c r="B35" s="164" t="s">
        <v>38</v>
      </c>
      <c r="C35" s="164">
        <v>3</v>
      </c>
      <c r="D35" s="164">
        <v>0</v>
      </c>
      <c r="E35" s="164">
        <v>1</v>
      </c>
      <c r="F35" s="164">
        <v>-1</v>
      </c>
      <c r="G35" s="164">
        <v>0</v>
      </c>
      <c r="H35" s="164">
        <v>0</v>
      </c>
      <c r="I35" s="164">
        <v>0</v>
      </c>
      <c r="J35" s="164">
        <v>750</v>
      </c>
      <c r="K35" s="164">
        <v>10</v>
      </c>
    </row>
    <row r="36" spans="1:10" ht="12.75">
      <c r="A36" s="164">
        <v>4</v>
      </c>
      <c r="B36" s="164" t="s">
        <v>39</v>
      </c>
      <c r="C36" s="164">
        <v>4</v>
      </c>
      <c r="D36" s="164">
        <v>-1</v>
      </c>
      <c r="E36" s="164">
        <v>1</v>
      </c>
      <c r="F36" s="164">
        <v>0</v>
      </c>
      <c r="G36" s="164">
        <v>0</v>
      </c>
      <c r="H36" s="164">
        <v>0</v>
      </c>
      <c r="I36" s="164">
        <v>0</v>
      </c>
      <c r="J36" s="164">
        <v>200</v>
      </c>
    </row>
    <row r="37" spans="1:10" ht="12.75">
      <c r="A37" s="164">
        <v>5</v>
      </c>
      <c r="B37" s="164" t="s">
        <v>40</v>
      </c>
      <c r="C37" s="164">
        <v>5</v>
      </c>
      <c r="D37" s="164">
        <v>0</v>
      </c>
      <c r="E37" s="164">
        <v>0</v>
      </c>
      <c r="F37" s="164">
        <v>0</v>
      </c>
      <c r="G37" s="164">
        <v>0</v>
      </c>
      <c r="H37" s="164">
        <v>0</v>
      </c>
      <c r="I37" s="164">
        <v>0</v>
      </c>
      <c r="J37" s="164">
        <v>185</v>
      </c>
    </row>
    <row r="38" spans="1:10" ht="12.75">
      <c r="A38" s="164">
        <v>6</v>
      </c>
      <c r="B38" s="164" t="s">
        <v>41</v>
      </c>
      <c r="C38" s="164">
        <v>6</v>
      </c>
      <c r="D38" s="164">
        <v>0</v>
      </c>
      <c r="E38" s="164">
        <v>0</v>
      </c>
      <c r="F38" s="164">
        <v>0</v>
      </c>
      <c r="G38" s="164">
        <v>1</v>
      </c>
      <c r="H38" s="164">
        <v>-1</v>
      </c>
      <c r="I38" s="164">
        <v>0</v>
      </c>
      <c r="J38" s="164">
        <v>500</v>
      </c>
    </row>
    <row r="40" spans="1:10" ht="25.5" customHeight="1">
      <c r="A40" s="164" t="s">
        <v>42</v>
      </c>
      <c r="D40" s="164" t="s">
        <v>43</v>
      </c>
      <c r="E40" s="284" t="s">
        <v>44</v>
      </c>
      <c r="F40" s="164" t="s">
        <v>45</v>
      </c>
      <c r="G40" s="164" t="s">
        <v>46</v>
      </c>
      <c r="H40" s="164" t="s">
        <v>47</v>
      </c>
      <c r="I40" s="164" t="s">
        <v>48</v>
      </c>
      <c r="J40" s="164" t="s">
        <v>25</v>
      </c>
    </row>
    <row r="41" spans="1:10" ht="12.75">
      <c r="A41" s="164" t="s">
        <v>49</v>
      </c>
      <c r="B41" s="164" t="s">
        <v>8</v>
      </c>
      <c r="C41" s="164">
        <v>1</v>
      </c>
      <c r="D41" s="164">
        <v>14</v>
      </c>
      <c r="E41" s="164">
        <v>11</v>
      </c>
      <c r="F41" s="164">
        <v>13</v>
      </c>
      <c r="G41" s="164">
        <v>15</v>
      </c>
      <c r="H41" s="164">
        <v>12</v>
      </c>
      <c r="I41" s="164">
        <v>0</v>
      </c>
      <c r="J41" s="164">
        <v>20</v>
      </c>
    </row>
    <row r="42" spans="3:10" ht="12.75">
      <c r="C42" s="164">
        <v>2</v>
      </c>
      <c r="D42" s="164">
        <v>14</v>
      </c>
      <c r="E42" s="164">
        <v>11</v>
      </c>
      <c r="F42" s="164">
        <v>13</v>
      </c>
      <c r="G42" s="164">
        <v>15</v>
      </c>
      <c r="H42" s="164">
        <v>12</v>
      </c>
      <c r="I42" s="164">
        <v>2500</v>
      </c>
      <c r="J42" s="164">
        <v>20</v>
      </c>
    </row>
    <row r="43" spans="3:10" ht="12.75">
      <c r="C43" s="164">
        <v>3</v>
      </c>
      <c r="D43" s="164">
        <v>14</v>
      </c>
      <c r="E43" s="164">
        <v>11</v>
      </c>
      <c r="F43" s="164">
        <v>13</v>
      </c>
      <c r="G43" s="164">
        <v>15</v>
      </c>
      <c r="H43" s="164">
        <v>12</v>
      </c>
      <c r="I43" s="164">
        <v>5000</v>
      </c>
      <c r="J43" s="164">
        <v>20</v>
      </c>
    </row>
    <row r="44" spans="3:10" ht="12.75">
      <c r="C44" s="164">
        <v>4</v>
      </c>
      <c r="D44" s="164">
        <v>14</v>
      </c>
      <c r="E44" s="164">
        <v>11</v>
      </c>
      <c r="F44" s="164">
        <v>13</v>
      </c>
      <c r="G44" s="164">
        <v>15</v>
      </c>
      <c r="H44" s="164">
        <v>12</v>
      </c>
      <c r="I44" s="164">
        <v>10000</v>
      </c>
      <c r="J44" s="164">
        <v>19</v>
      </c>
    </row>
    <row r="45" spans="3:10" ht="12.75">
      <c r="C45" s="164">
        <v>5</v>
      </c>
      <c r="D45" s="164">
        <v>14</v>
      </c>
      <c r="E45" s="164">
        <v>11</v>
      </c>
      <c r="F45" s="164">
        <v>13</v>
      </c>
      <c r="G45" s="164">
        <v>15</v>
      </c>
      <c r="H45" s="164">
        <v>12</v>
      </c>
      <c r="I45" s="164">
        <v>20000</v>
      </c>
      <c r="J45" s="164">
        <v>19</v>
      </c>
    </row>
    <row r="46" spans="3:10" ht="12.75">
      <c r="C46" s="164">
        <v>6</v>
      </c>
      <c r="D46" s="164">
        <v>13</v>
      </c>
      <c r="E46" s="164">
        <v>9</v>
      </c>
      <c r="F46" s="164">
        <v>11</v>
      </c>
      <c r="G46" s="164">
        <v>13</v>
      </c>
      <c r="H46" s="164">
        <v>10</v>
      </c>
      <c r="I46" s="164">
        <v>40000</v>
      </c>
      <c r="J46" s="164">
        <v>19</v>
      </c>
    </row>
    <row r="47" spans="3:10" ht="12.75">
      <c r="C47" s="164">
        <v>7</v>
      </c>
      <c r="D47" s="164">
        <v>13</v>
      </c>
      <c r="E47" s="164">
        <v>9</v>
      </c>
      <c r="F47" s="164">
        <v>11</v>
      </c>
      <c r="G47" s="164">
        <v>13</v>
      </c>
      <c r="H47" s="164">
        <v>10</v>
      </c>
      <c r="I47" s="164">
        <v>60000</v>
      </c>
      <c r="J47" s="164">
        <v>18</v>
      </c>
    </row>
    <row r="48" spans="3:10" ht="12.75">
      <c r="C48" s="164">
        <v>8</v>
      </c>
      <c r="D48" s="164">
        <v>13</v>
      </c>
      <c r="E48" s="164">
        <v>9</v>
      </c>
      <c r="F48" s="164">
        <v>11</v>
      </c>
      <c r="G48" s="164">
        <v>13</v>
      </c>
      <c r="H48" s="164">
        <v>10</v>
      </c>
      <c r="I48" s="164">
        <v>90000</v>
      </c>
      <c r="J48" s="164">
        <v>18</v>
      </c>
    </row>
    <row r="49" spans="3:10" ht="12.75">
      <c r="C49" s="164">
        <v>9</v>
      </c>
      <c r="D49" s="164">
        <v>13</v>
      </c>
      <c r="E49" s="164">
        <v>9</v>
      </c>
      <c r="F49" s="164">
        <v>11</v>
      </c>
      <c r="G49" s="164">
        <v>13</v>
      </c>
      <c r="H49" s="164">
        <v>10</v>
      </c>
      <c r="I49" s="164">
        <v>135000</v>
      </c>
      <c r="J49" s="164">
        <v>18</v>
      </c>
    </row>
    <row r="50" spans="3:10" ht="12.75">
      <c r="C50" s="164">
        <v>10</v>
      </c>
      <c r="D50" s="164">
        <v>13</v>
      </c>
      <c r="E50" s="164">
        <v>9</v>
      </c>
      <c r="F50" s="164">
        <v>11</v>
      </c>
      <c r="G50" s="164">
        <v>13</v>
      </c>
      <c r="H50" s="164">
        <v>10</v>
      </c>
      <c r="I50" s="164">
        <v>250000</v>
      </c>
      <c r="J50" s="164">
        <v>17</v>
      </c>
    </row>
    <row r="51" spans="3:10" ht="12.75">
      <c r="C51" s="164">
        <v>11</v>
      </c>
      <c r="D51" s="164">
        <v>11</v>
      </c>
      <c r="E51" s="164">
        <v>7</v>
      </c>
      <c r="F51" s="164">
        <v>9</v>
      </c>
      <c r="G51" s="164">
        <v>11</v>
      </c>
      <c r="H51" s="164">
        <v>8</v>
      </c>
      <c r="I51" s="164">
        <v>375000</v>
      </c>
      <c r="J51" s="164">
        <v>17</v>
      </c>
    </row>
    <row r="52" spans="3:10" ht="12.75">
      <c r="C52" s="164">
        <v>12</v>
      </c>
      <c r="D52" s="164">
        <v>11</v>
      </c>
      <c r="E52" s="164">
        <v>7</v>
      </c>
      <c r="F52" s="164">
        <v>9</v>
      </c>
      <c r="G52" s="164">
        <v>11</v>
      </c>
      <c r="H52" s="164">
        <v>8</v>
      </c>
      <c r="I52" s="164">
        <v>750000</v>
      </c>
      <c r="J52" s="164">
        <v>17</v>
      </c>
    </row>
    <row r="53" spans="3:10" ht="12.75">
      <c r="C53" s="164">
        <v>13</v>
      </c>
      <c r="D53" s="164">
        <v>11</v>
      </c>
      <c r="E53" s="164">
        <v>7</v>
      </c>
      <c r="F53" s="164">
        <v>9</v>
      </c>
      <c r="G53" s="164">
        <v>11</v>
      </c>
      <c r="H53" s="164">
        <v>8</v>
      </c>
      <c r="I53" s="164">
        <v>1125000</v>
      </c>
      <c r="J53" s="164">
        <v>1</v>
      </c>
    </row>
    <row r="54" spans="3:10" ht="12.75">
      <c r="C54" s="164">
        <v>14</v>
      </c>
      <c r="D54" s="164">
        <v>11</v>
      </c>
      <c r="E54" s="164">
        <v>7</v>
      </c>
      <c r="F54" s="164">
        <v>9</v>
      </c>
      <c r="G54" s="164">
        <v>11</v>
      </c>
      <c r="H54" s="164">
        <v>8</v>
      </c>
      <c r="I54" s="164">
        <v>1500000</v>
      </c>
      <c r="J54" s="164">
        <v>16</v>
      </c>
    </row>
    <row r="55" spans="3:10" ht="12.75">
      <c r="C55" s="164">
        <v>15</v>
      </c>
      <c r="D55" s="164">
        <v>11</v>
      </c>
      <c r="E55" s="164">
        <v>7</v>
      </c>
      <c r="F55" s="164">
        <v>9</v>
      </c>
      <c r="G55" s="164">
        <v>11</v>
      </c>
      <c r="H55" s="164">
        <v>8</v>
      </c>
      <c r="I55" s="164">
        <v>1875000</v>
      </c>
      <c r="J55" s="164">
        <v>16</v>
      </c>
    </row>
    <row r="57" spans="1:10" ht="12.75">
      <c r="A57" s="164" t="s">
        <v>50</v>
      </c>
      <c r="B57" s="164" t="s">
        <v>9</v>
      </c>
      <c r="C57" s="164">
        <v>1</v>
      </c>
      <c r="D57" s="164">
        <v>10</v>
      </c>
      <c r="E57" s="164">
        <v>14</v>
      </c>
      <c r="F57" s="164">
        <v>13</v>
      </c>
      <c r="G57" s="164">
        <v>16</v>
      </c>
      <c r="H57" s="164">
        <v>15</v>
      </c>
      <c r="I57" s="164">
        <v>0</v>
      </c>
      <c r="J57" s="164">
        <v>20</v>
      </c>
    </row>
    <row r="58" spans="3:10" ht="12.75">
      <c r="C58" s="164">
        <v>2</v>
      </c>
      <c r="D58" s="164">
        <v>10</v>
      </c>
      <c r="E58" s="164">
        <v>14</v>
      </c>
      <c r="F58" s="164">
        <v>13</v>
      </c>
      <c r="G58" s="164">
        <v>16</v>
      </c>
      <c r="H58" s="164">
        <v>15</v>
      </c>
      <c r="I58" s="164">
        <v>1500</v>
      </c>
      <c r="J58" s="164">
        <v>20</v>
      </c>
    </row>
    <row r="59" spans="3:10" ht="12.75">
      <c r="C59" s="164">
        <v>3</v>
      </c>
      <c r="D59" s="164">
        <v>10</v>
      </c>
      <c r="E59" s="164">
        <v>14</v>
      </c>
      <c r="F59" s="164">
        <v>13</v>
      </c>
      <c r="G59" s="164">
        <v>16</v>
      </c>
      <c r="H59" s="164">
        <v>15</v>
      </c>
      <c r="I59" s="164">
        <v>3000</v>
      </c>
      <c r="J59" s="164">
        <v>20</v>
      </c>
    </row>
    <row r="60" spans="3:10" ht="12.75">
      <c r="C60" s="164">
        <v>4</v>
      </c>
      <c r="D60" s="164">
        <v>9</v>
      </c>
      <c r="E60" s="164">
        <v>13</v>
      </c>
      <c r="F60" s="164">
        <v>12</v>
      </c>
      <c r="G60" s="164">
        <v>15</v>
      </c>
      <c r="H60" s="164">
        <v>14</v>
      </c>
      <c r="I60" s="164">
        <v>6000</v>
      </c>
      <c r="J60" s="164">
        <v>18</v>
      </c>
    </row>
    <row r="61" spans="3:10" ht="12.75">
      <c r="C61" s="164">
        <v>5</v>
      </c>
      <c r="D61" s="164">
        <v>9</v>
      </c>
      <c r="E61" s="164">
        <v>13</v>
      </c>
      <c r="F61" s="164">
        <v>12</v>
      </c>
      <c r="G61" s="164">
        <v>15</v>
      </c>
      <c r="H61" s="164">
        <v>14</v>
      </c>
      <c r="I61" s="164">
        <v>13000</v>
      </c>
      <c r="J61" s="164">
        <v>18</v>
      </c>
    </row>
    <row r="62" spans="3:10" ht="12.75">
      <c r="C62" s="164">
        <v>6</v>
      </c>
      <c r="D62" s="164">
        <v>9</v>
      </c>
      <c r="E62" s="164">
        <v>13</v>
      </c>
      <c r="F62" s="164">
        <v>12</v>
      </c>
      <c r="G62" s="164">
        <v>15</v>
      </c>
      <c r="H62" s="164">
        <v>14</v>
      </c>
      <c r="I62" s="164">
        <v>27500</v>
      </c>
      <c r="J62" s="164">
        <v>18</v>
      </c>
    </row>
    <row r="63" spans="3:10" ht="12.75">
      <c r="C63" s="164">
        <v>7</v>
      </c>
      <c r="D63" s="164">
        <v>7</v>
      </c>
      <c r="E63" s="164">
        <v>11</v>
      </c>
      <c r="F63" s="164">
        <v>10</v>
      </c>
      <c r="G63" s="164">
        <v>13</v>
      </c>
      <c r="H63" s="164">
        <v>12</v>
      </c>
      <c r="I63" s="164">
        <v>55000</v>
      </c>
      <c r="J63" s="164">
        <v>16</v>
      </c>
    </row>
    <row r="64" spans="3:10" ht="12.75">
      <c r="C64" s="164">
        <v>8</v>
      </c>
      <c r="D64" s="164">
        <v>7</v>
      </c>
      <c r="E64" s="164">
        <v>11</v>
      </c>
      <c r="F64" s="164">
        <v>10</v>
      </c>
      <c r="G64" s="164">
        <v>13</v>
      </c>
      <c r="H64" s="164">
        <v>12</v>
      </c>
      <c r="I64" s="164">
        <v>110000</v>
      </c>
      <c r="J64" s="164">
        <v>16</v>
      </c>
    </row>
    <row r="65" spans="3:10" ht="12.75">
      <c r="C65" s="164">
        <v>9</v>
      </c>
      <c r="D65" s="164">
        <v>7</v>
      </c>
      <c r="E65" s="164">
        <v>11</v>
      </c>
      <c r="F65" s="164">
        <v>10</v>
      </c>
      <c r="G65" s="164">
        <v>13</v>
      </c>
      <c r="H65" s="164">
        <v>12</v>
      </c>
      <c r="I65" s="164">
        <v>225000</v>
      </c>
      <c r="J65" s="164">
        <v>16</v>
      </c>
    </row>
    <row r="66" spans="3:10" ht="12.75">
      <c r="C66" s="164">
        <v>10</v>
      </c>
      <c r="D66" s="164">
        <v>6</v>
      </c>
      <c r="E66" s="164">
        <v>10</v>
      </c>
      <c r="F66" s="164">
        <v>9</v>
      </c>
      <c r="G66" s="164">
        <v>12</v>
      </c>
      <c r="H66" s="164">
        <v>11</v>
      </c>
      <c r="I66" s="164">
        <v>450000</v>
      </c>
      <c r="J66" s="164">
        <v>14</v>
      </c>
    </row>
    <row r="67" spans="3:10" ht="12.75">
      <c r="C67" s="164">
        <v>11</v>
      </c>
      <c r="D67" s="164">
        <v>6</v>
      </c>
      <c r="E67" s="164">
        <v>10</v>
      </c>
      <c r="F67" s="164">
        <v>9</v>
      </c>
      <c r="G67" s="164">
        <v>12</v>
      </c>
      <c r="H67" s="164">
        <v>11</v>
      </c>
      <c r="I67" s="164">
        <v>675000</v>
      </c>
      <c r="J67" s="164">
        <v>14</v>
      </c>
    </row>
    <row r="68" spans="3:10" ht="12.75">
      <c r="C68" s="164">
        <v>12</v>
      </c>
      <c r="D68" s="164">
        <v>6</v>
      </c>
      <c r="E68" s="164">
        <v>10</v>
      </c>
      <c r="F68" s="164">
        <v>9</v>
      </c>
      <c r="G68" s="164">
        <v>12</v>
      </c>
      <c r="H68" s="164">
        <v>11</v>
      </c>
      <c r="I68" s="164">
        <v>900000</v>
      </c>
      <c r="J68" s="164">
        <v>14</v>
      </c>
    </row>
    <row r="69" spans="3:10" ht="12.75">
      <c r="C69" s="164">
        <v>13</v>
      </c>
      <c r="D69" s="164">
        <v>5</v>
      </c>
      <c r="E69" s="164">
        <v>9</v>
      </c>
      <c r="F69" s="164">
        <v>8</v>
      </c>
      <c r="G69" s="164">
        <v>11</v>
      </c>
      <c r="H69" s="164">
        <v>10</v>
      </c>
      <c r="I69" s="164">
        <v>1125000</v>
      </c>
      <c r="J69" s="164">
        <v>12</v>
      </c>
    </row>
    <row r="70" spans="3:10" ht="12.75">
      <c r="C70" s="164">
        <v>14</v>
      </c>
      <c r="D70" s="164">
        <v>5</v>
      </c>
      <c r="E70" s="164">
        <v>9</v>
      </c>
      <c r="F70" s="164">
        <v>8</v>
      </c>
      <c r="G70" s="164">
        <v>11</v>
      </c>
      <c r="H70" s="164">
        <v>10</v>
      </c>
      <c r="I70" s="164">
        <v>1350000</v>
      </c>
      <c r="J70" s="164">
        <v>12</v>
      </c>
    </row>
    <row r="71" spans="3:10" ht="12.75">
      <c r="C71" s="164">
        <v>15</v>
      </c>
      <c r="D71" s="164">
        <v>5</v>
      </c>
      <c r="E71" s="164">
        <v>9</v>
      </c>
      <c r="F71" s="164">
        <v>8</v>
      </c>
      <c r="G71" s="164">
        <v>11</v>
      </c>
      <c r="H71" s="164">
        <v>10</v>
      </c>
      <c r="I71" s="164">
        <v>1575000</v>
      </c>
      <c r="J71" s="164">
        <v>12</v>
      </c>
    </row>
    <row r="73" spans="1:10" ht="12.75">
      <c r="A73" s="164" t="s">
        <v>51</v>
      </c>
      <c r="B73" s="164" t="s">
        <v>10</v>
      </c>
      <c r="C73" s="164">
        <v>1</v>
      </c>
      <c r="D73" s="164">
        <v>13</v>
      </c>
      <c r="E73" s="164">
        <v>15</v>
      </c>
      <c r="F73" s="164">
        <v>10</v>
      </c>
      <c r="G73" s="164">
        <v>16</v>
      </c>
      <c r="H73" s="164">
        <v>15</v>
      </c>
      <c r="I73" s="164">
        <v>0</v>
      </c>
      <c r="J73" s="164">
        <v>20</v>
      </c>
    </row>
    <row r="74" spans="3:10" ht="12.75">
      <c r="C74" s="164">
        <v>2</v>
      </c>
      <c r="D74" s="164">
        <v>13</v>
      </c>
      <c r="E74" s="164">
        <v>15</v>
      </c>
      <c r="F74" s="164">
        <v>10</v>
      </c>
      <c r="G74" s="164">
        <v>16</v>
      </c>
      <c r="H74" s="164">
        <v>15</v>
      </c>
      <c r="I74" s="164">
        <v>2200</v>
      </c>
      <c r="J74" s="164">
        <v>20</v>
      </c>
    </row>
    <row r="75" spans="3:10" ht="12.75">
      <c r="C75" s="164">
        <v>3</v>
      </c>
      <c r="D75" s="164">
        <v>13</v>
      </c>
      <c r="E75" s="164">
        <v>15</v>
      </c>
      <c r="F75" s="164">
        <v>10</v>
      </c>
      <c r="G75" s="164">
        <v>16</v>
      </c>
      <c r="H75" s="164">
        <v>15</v>
      </c>
      <c r="I75" s="164">
        <v>4400</v>
      </c>
      <c r="J75" s="164">
        <v>19</v>
      </c>
    </row>
    <row r="76" spans="3:10" ht="12.75">
      <c r="C76" s="164">
        <v>4</v>
      </c>
      <c r="D76" s="164">
        <v>13</v>
      </c>
      <c r="E76" s="164">
        <v>15</v>
      </c>
      <c r="F76" s="164">
        <v>10</v>
      </c>
      <c r="G76" s="164">
        <v>16</v>
      </c>
      <c r="H76" s="164">
        <v>15</v>
      </c>
      <c r="I76" s="164">
        <v>8800</v>
      </c>
      <c r="J76" s="164">
        <v>19</v>
      </c>
    </row>
    <row r="77" spans="3:10" ht="12.75">
      <c r="C77" s="164">
        <v>5</v>
      </c>
      <c r="D77" s="164">
        <v>12</v>
      </c>
      <c r="E77" s="164">
        <v>13</v>
      </c>
      <c r="F77" s="164">
        <v>9</v>
      </c>
      <c r="G77" s="164">
        <v>15</v>
      </c>
      <c r="H77" s="164">
        <v>14</v>
      </c>
      <c r="I77" s="164">
        <v>16500</v>
      </c>
      <c r="J77" s="164">
        <v>18</v>
      </c>
    </row>
    <row r="78" spans="3:10" ht="12.75">
      <c r="C78" s="164">
        <v>6</v>
      </c>
      <c r="D78" s="164">
        <v>12</v>
      </c>
      <c r="E78" s="164">
        <v>13</v>
      </c>
      <c r="F78" s="164">
        <v>9</v>
      </c>
      <c r="G78" s="164">
        <v>15</v>
      </c>
      <c r="H78" s="164">
        <v>14</v>
      </c>
      <c r="I78" s="164">
        <v>30000</v>
      </c>
      <c r="J78" s="164">
        <v>18</v>
      </c>
    </row>
    <row r="79" spans="3:10" ht="12.75">
      <c r="C79" s="164">
        <v>7</v>
      </c>
      <c r="D79" s="164">
        <v>12</v>
      </c>
      <c r="E79" s="164">
        <v>13</v>
      </c>
      <c r="F79" s="164">
        <v>9</v>
      </c>
      <c r="G79" s="164">
        <v>15</v>
      </c>
      <c r="H79" s="164">
        <v>14</v>
      </c>
      <c r="I79" s="164">
        <v>55000</v>
      </c>
      <c r="J79" s="164">
        <v>17</v>
      </c>
    </row>
    <row r="80" spans="3:10" ht="12.75">
      <c r="C80" s="164">
        <v>8</v>
      </c>
      <c r="D80" s="164">
        <v>12</v>
      </c>
      <c r="E80" s="164">
        <v>13</v>
      </c>
      <c r="F80" s="164">
        <v>9</v>
      </c>
      <c r="G80" s="164">
        <v>15</v>
      </c>
      <c r="H80" s="164">
        <v>14</v>
      </c>
      <c r="I80" s="164">
        <v>100000</v>
      </c>
      <c r="J80" s="164">
        <v>17</v>
      </c>
    </row>
    <row r="81" spans="3:10" ht="12.75">
      <c r="C81" s="164">
        <v>9</v>
      </c>
      <c r="D81" s="164">
        <v>11</v>
      </c>
      <c r="E81" s="164">
        <v>11</v>
      </c>
      <c r="F81" s="164">
        <v>8</v>
      </c>
      <c r="G81" s="164">
        <v>13</v>
      </c>
      <c r="H81" s="164">
        <v>12</v>
      </c>
      <c r="I81" s="164">
        <v>200000</v>
      </c>
      <c r="J81" s="164">
        <v>16</v>
      </c>
    </row>
    <row r="82" spans="3:10" ht="12.75">
      <c r="C82" s="164">
        <v>10</v>
      </c>
      <c r="D82" s="164">
        <v>11</v>
      </c>
      <c r="E82" s="164">
        <v>11</v>
      </c>
      <c r="F82" s="164">
        <v>8</v>
      </c>
      <c r="G82" s="164">
        <v>13</v>
      </c>
      <c r="H82" s="164">
        <v>12</v>
      </c>
      <c r="I82" s="164">
        <v>400000</v>
      </c>
      <c r="J82" s="164">
        <v>16</v>
      </c>
    </row>
    <row r="83" spans="3:10" ht="12.75">
      <c r="C83" s="164">
        <v>11</v>
      </c>
      <c r="D83" s="164">
        <v>11</v>
      </c>
      <c r="E83" s="164">
        <v>11</v>
      </c>
      <c r="F83" s="164">
        <v>8</v>
      </c>
      <c r="G83" s="164">
        <v>13</v>
      </c>
      <c r="H83" s="164">
        <v>12</v>
      </c>
      <c r="I83" s="164">
        <v>600000</v>
      </c>
      <c r="J83" s="164">
        <v>15</v>
      </c>
    </row>
    <row r="84" spans="3:10" ht="12.75">
      <c r="C84" s="164">
        <v>12</v>
      </c>
      <c r="D84" s="164">
        <v>11</v>
      </c>
      <c r="E84" s="164">
        <v>11</v>
      </c>
      <c r="F84" s="164">
        <v>8</v>
      </c>
      <c r="G84" s="164">
        <v>13</v>
      </c>
      <c r="H84" s="164">
        <v>12</v>
      </c>
      <c r="I84" s="164">
        <v>800000</v>
      </c>
      <c r="J84" s="164">
        <v>15</v>
      </c>
    </row>
    <row r="85" spans="3:10" ht="12.75">
      <c r="C85" s="164">
        <v>13</v>
      </c>
      <c r="D85" s="164">
        <v>10</v>
      </c>
      <c r="E85" s="164">
        <v>9</v>
      </c>
      <c r="F85" s="164">
        <v>7</v>
      </c>
      <c r="G85" s="164">
        <v>12</v>
      </c>
      <c r="H85" s="164">
        <v>11</v>
      </c>
      <c r="I85" s="164">
        <v>1000000</v>
      </c>
      <c r="J85" s="164">
        <v>14</v>
      </c>
    </row>
    <row r="86" spans="3:10" ht="12.75">
      <c r="C86" s="164">
        <v>14</v>
      </c>
      <c r="D86" s="164">
        <v>10</v>
      </c>
      <c r="E86" s="164">
        <v>9</v>
      </c>
      <c r="F86" s="164">
        <v>7</v>
      </c>
      <c r="G86" s="164">
        <v>12</v>
      </c>
      <c r="H86" s="164">
        <v>11</v>
      </c>
      <c r="I86" s="164">
        <v>1200000</v>
      </c>
      <c r="J86" s="164">
        <v>14</v>
      </c>
    </row>
    <row r="87" spans="3:10" ht="12.75">
      <c r="C87" s="164">
        <v>15</v>
      </c>
      <c r="D87" s="164">
        <v>10</v>
      </c>
      <c r="E87" s="164">
        <v>9</v>
      </c>
      <c r="F87" s="164">
        <v>7</v>
      </c>
      <c r="G87" s="164">
        <v>12</v>
      </c>
      <c r="H87" s="164">
        <v>11</v>
      </c>
      <c r="I87" s="164">
        <v>1500000</v>
      </c>
      <c r="J87" s="164">
        <v>13</v>
      </c>
    </row>
    <row r="89" spans="1:10" ht="12.75">
      <c r="A89" s="164" t="s">
        <v>52</v>
      </c>
      <c r="B89" s="164" t="s">
        <v>11</v>
      </c>
      <c r="C89" s="164">
        <v>1</v>
      </c>
      <c r="D89" s="164">
        <v>13</v>
      </c>
      <c r="E89" s="164">
        <v>14</v>
      </c>
      <c r="F89" s="164">
        <v>12</v>
      </c>
      <c r="G89" s="164">
        <v>16</v>
      </c>
      <c r="H89" s="164">
        <v>15</v>
      </c>
      <c r="I89" s="164">
        <v>0</v>
      </c>
      <c r="J89" s="164">
        <v>20</v>
      </c>
    </row>
    <row r="90" spans="3:10" ht="12.75">
      <c r="C90" s="164">
        <v>2</v>
      </c>
      <c r="D90" s="164">
        <v>13</v>
      </c>
      <c r="E90" s="164">
        <v>14</v>
      </c>
      <c r="F90" s="164">
        <v>12</v>
      </c>
      <c r="G90" s="164">
        <v>16</v>
      </c>
      <c r="H90" s="164">
        <v>15</v>
      </c>
      <c r="I90" s="164">
        <v>1250</v>
      </c>
      <c r="J90" s="164">
        <v>20</v>
      </c>
    </row>
    <row r="91" spans="3:10" ht="12.75">
      <c r="C91" s="164">
        <v>3</v>
      </c>
      <c r="D91" s="164">
        <v>13</v>
      </c>
      <c r="E91" s="164">
        <v>14</v>
      </c>
      <c r="F91" s="164">
        <v>12</v>
      </c>
      <c r="G91" s="164">
        <v>16</v>
      </c>
      <c r="H91" s="164">
        <v>15</v>
      </c>
      <c r="I91" s="164">
        <v>2500</v>
      </c>
      <c r="J91" s="164">
        <v>19</v>
      </c>
    </row>
    <row r="92" spans="3:10" ht="12.75">
      <c r="C92" s="164">
        <v>4</v>
      </c>
      <c r="D92" s="164">
        <v>13</v>
      </c>
      <c r="E92" s="164">
        <v>14</v>
      </c>
      <c r="F92" s="164">
        <v>12</v>
      </c>
      <c r="G92" s="164">
        <v>16</v>
      </c>
      <c r="H92" s="164">
        <v>15</v>
      </c>
      <c r="I92" s="164">
        <v>5000</v>
      </c>
      <c r="J92" s="164">
        <v>19</v>
      </c>
    </row>
    <row r="93" spans="3:10" ht="12.75">
      <c r="C93" s="164">
        <v>5</v>
      </c>
      <c r="D93" s="164">
        <v>12</v>
      </c>
      <c r="E93" s="164">
        <v>12</v>
      </c>
      <c r="F93" s="164">
        <v>11</v>
      </c>
      <c r="G93" s="164">
        <v>15</v>
      </c>
      <c r="H93" s="164">
        <v>13</v>
      </c>
      <c r="I93" s="164">
        <v>10000</v>
      </c>
      <c r="J93" s="164">
        <v>18</v>
      </c>
    </row>
    <row r="94" spans="3:10" ht="12.75">
      <c r="C94" s="164">
        <v>6</v>
      </c>
      <c r="D94" s="164">
        <v>12</v>
      </c>
      <c r="E94" s="164">
        <v>12</v>
      </c>
      <c r="F94" s="164">
        <v>11</v>
      </c>
      <c r="G94" s="164">
        <v>15</v>
      </c>
      <c r="H94" s="164">
        <v>13</v>
      </c>
      <c r="I94" s="164">
        <v>20000</v>
      </c>
      <c r="J94" s="164">
        <v>18</v>
      </c>
    </row>
    <row r="95" spans="3:10" ht="12.75">
      <c r="C95" s="164">
        <v>7</v>
      </c>
      <c r="D95" s="164">
        <v>12</v>
      </c>
      <c r="E95" s="164">
        <v>12</v>
      </c>
      <c r="F95" s="164">
        <v>11</v>
      </c>
      <c r="G95" s="164">
        <v>15</v>
      </c>
      <c r="H95" s="164">
        <v>13</v>
      </c>
      <c r="I95" s="164">
        <v>40000</v>
      </c>
      <c r="J95" s="164">
        <v>17</v>
      </c>
    </row>
    <row r="96" spans="3:10" ht="12.75">
      <c r="C96" s="164">
        <v>8</v>
      </c>
      <c r="D96" s="164">
        <v>12</v>
      </c>
      <c r="E96" s="164">
        <v>12</v>
      </c>
      <c r="F96" s="164">
        <v>11</v>
      </c>
      <c r="G96" s="164">
        <v>15</v>
      </c>
      <c r="H96" s="164">
        <v>13</v>
      </c>
      <c r="I96" s="164">
        <v>70000</v>
      </c>
      <c r="J96" s="164">
        <v>17</v>
      </c>
    </row>
    <row r="97" spans="3:10" ht="12.75">
      <c r="C97" s="164">
        <v>9</v>
      </c>
      <c r="D97" s="164">
        <v>11</v>
      </c>
      <c r="E97" s="164">
        <v>10</v>
      </c>
      <c r="F97" s="164">
        <v>10</v>
      </c>
      <c r="G97" s="164">
        <v>14</v>
      </c>
      <c r="H97" s="164">
        <v>11</v>
      </c>
      <c r="I97" s="164">
        <v>110000</v>
      </c>
      <c r="J97" s="164">
        <v>16</v>
      </c>
    </row>
    <row r="98" spans="3:10" ht="12.75">
      <c r="C98" s="164">
        <v>10</v>
      </c>
      <c r="D98" s="164">
        <v>11</v>
      </c>
      <c r="E98" s="164">
        <v>10</v>
      </c>
      <c r="F98" s="164">
        <v>10</v>
      </c>
      <c r="G98" s="164">
        <v>14</v>
      </c>
      <c r="H98" s="164">
        <v>11</v>
      </c>
      <c r="I98" s="164">
        <v>160000</v>
      </c>
      <c r="J98" s="164">
        <v>16</v>
      </c>
    </row>
    <row r="99" spans="3:10" ht="12.75">
      <c r="C99" s="164">
        <v>11</v>
      </c>
      <c r="D99" s="164">
        <v>11</v>
      </c>
      <c r="E99" s="164">
        <v>10</v>
      </c>
      <c r="F99" s="164">
        <v>10</v>
      </c>
      <c r="G99" s="164">
        <v>14</v>
      </c>
      <c r="H99" s="164">
        <v>11</v>
      </c>
      <c r="I99" s="164">
        <v>220000</v>
      </c>
      <c r="J99" s="164">
        <v>15</v>
      </c>
    </row>
    <row r="100" spans="3:10" ht="12.75">
      <c r="C100" s="164">
        <v>12</v>
      </c>
      <c r="D100" s="164">
        <v>11</v>
      </c>
      <c r="E100" s="164">
        <v>10</v>
      </c>
      <c r="F100" s="164">
        <v>10</v>
      </c>
      <c r="G100" s="164">
        <v>14</v>
      </c>
      <c r="H100" s="164">
        <v>11</v>
      </c>
      <c r="I100" s="164">
        <v>440000</v>
      </c>
      <c r="J100" s="164">
        <v>15</v>
      </c>
    </row>
    <row r="101" spans="3:10" ht="12.75">
      <c r="C101" s="164">
        <v>13</v>
      </c>
      <c r="D101" s="164">
        <v>10</v>
      </c>
      <c r="E101" s="164">
        <v>8</v>
      </c>
      <c r="F101" s="164">
        <v>9</v>
      </c>
      <c r="G101" s="164">
        <v>13</v>
      </c>
      <c r="H101" s="164">
        <v>9</v>
      </c>
      <c r="I101" s="164">
        <v>660000</v>
      </c>
      <c r="J101" s="164">
        <v>14</v>
      </c>
    </row>
    <row r="102" spans="3:10" ht="12.75">
      <c r="C102" s="164">
        <v>14</v>
      </c>
      <c r="D102" s="164">
        <v>10</v>
      </c>
      <c r="E102" s="164">
        <v>8</v>
      </c>
      <c r="F102" s="164">
        <v>9</v>
      </c>
      <c r="G102" s="164">
        <v>13</v>
      </c>
      <c r="H102" s="164">
        <v>9</v>
      </c>
      <c r="I102" s="164">
        <v>880000</v>
      </c>
      <c r="J102" s="164">
        <v>14</v>
      </c>
    </row>
    <row r="103" spans="3:10" ht="12.75">
      <c r="C103" s="164">
        <v>15</v>
      </c>
      <c r="D103" s="164">
        <v>10</v>
      </c>
      <c r="E103" s="164">
        <v>8</v>
      </c>
      <c r="F103" s="164">
        <v>9</v>
      </c>
      <c r="G103" s="164">
        <v>13</v>
      </c>
      <c r="H103" s="164">
        <v>9</v>
      </c>
      <c r="I103" s="164">
        <v>1100000</v>
      </c>
      <c r="J103" s="164">
        <v>13</v>
      </c>
    </row>
    <row r="104" spans="10:11" ht="12.75">
      <c r="J104" s="164" t="s">
        <v>53</v>
      </c>
      <c r="K104" s="164" t="s">
        <v>25</v>
      </c>
    </row>
    <row r="105" spans="1:11" ht="12.75">
      <c r="A105" s="164" t="s">
        <v>51</v>
      </c>
      <c r="B105" s="164" t="s">
        <v>12</v>
      </c>
      <c r="C105" s="164">
        <v>1</v>
      </c>
      <c r="D105" s="164">
        <v>14</v>
      </c>
      <c r="E105" s="164">
        <v>16</v>
      </c>
      <c r="F105" s="164">
        <v>15</v>
      </c>
      <c r="G105" s="164">
        <v>17</v>
      </c>
      <c r="H105" s="164">
        <v>17</v>
      </c>
      <c r="I105" s="164">
        <v>0</v>
      </c>
      <c r="J105" s="164">
        <v>0</v>
      </c>
      <c r="K105" s="164">
        <v>20</v>
      </c>
    </row>
    <row r="106" spans="3:11" ht="12.75">
      <c r="C106" s="164">
        <v>2</v>
      </c>
      <c r="D106" s="164">
        <v>14</v>
      </c>
      <c r="E106" s="164">
        <v>16</v>
      </c>
      <c r="F106" s="164">
        <v>15</v>
      </c>
      <c r="G106" s="164">
        <v>17</v>
      </c>
      <c r="H106" s="164">
        <v>17</v>
      </c>
      <c r="I106" s="164">
        <v>2000</v>
      </c>
      <c r="J106" s="164">
        <v>2250</v>
      </c>
      <c r="K106" s="164">
        <v>19</v>
      </c>
    </row>
    <row r="107" spans="3:11" ht="12.75">
      <c r="C107" s="164">
        <v>3</v>
      </c>
      <c r="D107" s="164">
        <v>13</v>
      </c>
      <c r="E107" s="164">
        <v>15</v>
      </c>
      <c r="F107" s="164">
        <v>14</v>
      </c>
      <c r="G107" s="164">
        <v>16</v>
      </c>
      <c r="H107" s="164">
        <v>16</v>
      </c>
      <c r="I107" s="164">
        <v>4000</v>
      </c>
      <c r="J107" s="164">
        <v>4500</v>
      </c>
      <c r="K107" s="164">
        <v>18</v>
      </c>
    </row>
    <row r="108" spans="3:11" ht="12.75">
      <c r="C108" s="164">
        <v>4</v>
      </c>
      <c r="D108" s="164">
        <v>13</v>
      </c>
      <c r="E108" s="164">
        <v>15</v>
      </c>
      <c r="F108" s="164">
        <v>14</v>
      </c>
      <c r="G108" s="164">
        <v>16</v>
      </c>
      <c r="H108" s="164">
        <v>16</v>
      </c>
      <c r="I108" s="164">
        <v>8000</v>
      </c>
      <c r="J108" s="164">
        <v>9000</v>
      </c>
      <c r="K108" s="164">
        <v>17</v>
      </c>
    </row>
    <row r="109" spans="3:11" ht="12.75">
      <c r="C109" s="164">
        <v>5</v>
      </c>
      <c r="D109" s="164">
        <v>11</v>
      </c>
      <c r="E109" s="164">
        <v>13</v>
      </c>
      <c r="F109" s="164">
        <v>12</v>
      </c>
      <c r="G109" s="164">
        <v>13</v>
      </c>
      <c r="H109" s="164">
        <v>14</v>
      </c>
      <c r="I109" s="164">
        <v>16000</v>
      </c>
      <c r="J109" s="164">
        <v>18000</v>
      </c>
      <c r="K109" s="164">
        <v>16</v>
      </c>
    </row>
    <row r="110" spans="3:11" ht="12.75">
      <c r="C110" s="164">
        <v>6</v>
      </c>
      <c r="D110" s="164">
        <v>11</v>
      </c>
      <c r="E110" s="164">
        <v>13</v>
      </c>
      <c r="F110" s="164">
        <v>12</v>
      </c>
      <c r="G110" s="164">
        <v>13</v>
      </c>
      <c r="H110" s="164">
        <v>14</v>
      </c>
      <c r="I110" s="164">
        <v>32000</v>
      </c>
      <c r="J110" s="164">
        <v>36000</v>
      </c>
      <c r="K110" s="164">
        <v>15</v>
      </c>
    </row>
    <row r="111" spans="3:11" ht="12.75">
      <c r="C111" s="164">
        <v>7</v>
      </c>
      <c r="D111" s="164">
        <v>10</v>
      </c>
      <c r="E111" s="164">
        <v>12</v>
      </c>
      <c r="F111" s="164">
        <v>11</v>
      </c>
      <c r="G111" s="164">
        <v>12</v>
      </c>
      <c r="H111" s="164">
        <v>13</v>
      </c>
      <c r="I111" s="164">
        <v>64000</v>
      </c>
      <c r="J111" s="164">
        <v>75000</v>
      </c>
      <c r="K111" s="164">
        <v>14</v>
      </c>
    </row>
    <row r="112" spans="3:11" ht="12.75">
      <c r="C112" s="164">
        <v>8</v>
      </c>
      <c r="D112" s="164">
        <v>10</v>
      </c>
      <c r="E112" s="164">
        <v>12</v>
      </c>
      <c r="F112" s="164">
        <v>11</v>
      </c>
      <c r="G112" s="164">
        <v>12</v>
      </c>
      <c r="H112" s="164">
        <v>13</v>
      </c>
      <c r="I112" s="164">
        <v>125000</v>
      </c>
      <c r="J112" s="164">
        <v>150000</v>
      </c>
      <c r="K112" s="164">
        <v>13</v>
      </c>
    </row>
    <row r="113" spans="3:11" ht="12.75">
      <c r="C113" s="164">
        <v>9</v>
      </c>
      <c r="D113" s="164">
        <v>8</v>
      </c>
      <c r="E113" s="164">
        <v>10</v>
      </c>
      <c r="F113" s="164">
        <v>9</v>
      </c>
      <c r="G113" s="164">
        <v>9</v>
      </c>
      <c r="H113" s="164">
        <v>11</v>
      </c>
      <c r="I113" s="164">
        <v>250000</v>
      </c>
      <c r="J113" s="164">
        <v>300000</v>
      </c>
      <c r="K113" s="164">
        <v>12</v>
      </c>
    </row>
    <row r="114" spans="3:11" ht="12.75">
      <c r="C114" s="164">
        <v>10</v>
      </c>
      <c r="D114" s="164">
        <v>8</v>
      </c>
      <c r="E114" s="164">
        <v>10</v>
      </c>
      <c r="F114" s="164">
        <v>9</v>
      </c>
      <c r="G114" s="164">
        <v>9</v>
      </c>
      <c r="H114" s="164">
        <v>11</v>
      </c>
      <c r="I114" s="164">
        <v>500000</v>
      </c>
      <c r="J114" s="164">
        <v>600000</v>
      </c>
      <c r="K114" s="164">
        <v>11</v>
      </c>
    </row>
    <row r="115" spans="3:11" ht="12.75">
      <c r="C115" s="164">
        <v>11</v>
      </c>
      <c r="D115" s="164">
        <v>7</v>
      </c>
      <c r="E115" s="164">
        <v>9</v>
      </c>
      <c r="F115" s="164">
        <v>8</v>
      </c>
      <c r="G115" s="164">
        <v>8</v>
      </c>
      <c r="H115" s="164">
        <v>10</v>
      </c>
      <c r="I115" s="164">
        <v>750000</v>
      </c>
      <c r="J115" s="164">
        <v>900000</v>
      </c>
      <c r="K115" s="164">
        <v>10</v>
      </c>
    </row>
    <row r="116" spans="3:11" ht="12.75">
      <c r="C116" s="164">
        <v>12</v>
      </c>
      <c r="D116" s="164">
        <v>7</v>
      </c>
      <c r="E116" s="164">
        <v>9</v>
      </c>
      <c r="F116" s="164">
        <v>8</v>
      </c>
      <c r="G116" s="164">
        <v>8</v>
      </c>
      <c r="H116" s="164">
        <v>10</v>
      </c>
      <c r="I116" s="164">
        <v>1000000</v>
      </c>
      <c r="J116" s="164">
        <v>1200000</v>
      </c>
      <c r="K116" s="164">
        <v>9</v>
      </c>
    </row>
    <row r="117" spans="3:11" ht="12.75">
      <c r="C117" s="164">
        <v>13</v>
      </c>
      <c r="D117" s="164">
        <v>5</v>
      </c>
      <c r="E117" s="164">
        <v>7</v>
      </c>
      <c r="F117" s="164">
        <v>6</v>
      </c>
      <c r="G117" s="164">
        <v>5</v>
      </c>
      <c r="H117" s="164">
        <v>8</v>
      </c>
      <c r="I117" s="164">
        <v>1250000</v>
      </c>
      <c r="J117" s="164">
        <v>1500000</v>
      </c>
      <c r="K117" s="164">
        <v>8</v>
      </c>
    </row>
    <row r="118" spans="3:11" ht="12.75">
      <c r="C118" s="164">
        <v>14</v>
      </c>
      <c r="D118" s="164">
        <v>5</v>
      </c>
      <c r="E118" s="164">
        <v>7</v>
      </c>
      <c r="F118" s="164">
        <v>6</v>
      </c>
      <c r="G118" s="164">
        <v>5</v>
      </c>
      <c r="H118" s="164">
        <v>8</v>
      </c>
      <c r="I118" s="164">
        <v>1500000</v>
      </c>
      <c r="J118" s="164">
        <v>1800000</v>
      </c>
      <c r="K118" s="164">
        <v>7</v>
      </c>
    </row>
    <row r="119" spans="3:11" ht="12.75">
      <c r="C119" s="164">
        <v>15</v>
      </c>
      <c r="D119" s="164">
        <v>4</v>
      </c>
      <c r="E119" s="164">
        <v>6</v>
      </c>
      <c r="F119" s="164">
        <v>5</v>
      </c>
      <c r="G119" s="164">
        <v>4</v>
      </c>
      <c r="H119" s="164">
        <v>7</v>
      </c>
      <c r="I119" s="164">
        <v>1750000</v>
      </c>
      <c r="J119" s="164">
        <v>2100000</v>
      </c>
      <c r="K119" s="164">
        <v>6</v>
      </c>
    </row>
    <row r="121" spans="3:10" ht="12.75">
      <c r="C121" s="164" t="s">
        <v>54</v>
      </c>
      <c r="D121" s="164" t="s">
        <v>55</v>
      </c>
      <c r="E121" s="164" t="s">
        <v>56</v>
      </c>
      <c r="F121" s="164" t="s">
        <v>57</v>
      </c>
      <c r="G121" s="164" t="s">
        <v>58</v>
      </c>
      <c r="H121" s="164" t="s">
        <v>59</v>
      </c>
      <c r="I121" s="164" t="s">
        <v>60</v>
      </c>
      <c r="J121" s="164" t="s">
        <v>61</v>
      </c>
    </row>
    <row r="122" spans="1:9" ht="12.75">
      <c r="A122" s="164" t="s">
        <v>62</v>
      </c>
      <c r="B122" s="164" t="s">
        <v>63</v>
      </c>
      <c r="C122" s="164">
        <v>1</v>
      </c>
      <c r="D122" s="164">
        <v>-3</v>
      </c>
      <c r="E122" s="164">
        <v>-3</v>
      </c>
      <c r="F122" s="164">
        <v>25</v>
      </c>
      <c r="G122" s="164">
        <v>30</v>
      </c>
      <c r="H122" s="164">
        <v>-2</v>
      </c>
      <c r="I122" s="164" t="s">
        <v>64</v>
      </c>
    </row>
    <row r="123" spans="3:9" ht="12.75">
      <c r="C123" s="164">
        <v>2</v>
      </c>
      <c r="D123" s="164">
        <v>-2</v>
      </c>
      <c r="E123" s="164">
        <v>-2</v>
      </c>
      <c r="F123" s="164">
        <v>30</v>
      </c>
      <c r="G123" s="164">
        <v>35</v>
      </c>
      <c r="H123" s="164">
        <v>-1</v>
      </c>
      <c r="I123" s="164" t="s">
        <v>64</v>
      </c>
    </row>
    <row r="124" spans="3:9" ht="12.75">
      <c r="C124" s="164">
        <v>3</v>
      </c>
      <c r="D124" s="164">
        <v>-2</v>
      </c>
      <c r="E124" s="164">
        <v>-2</v>
      </c>
      <c r="F124" s="164">
        <v>35</v>
      </c>
      <c r="G124" s="164">
        <v>40</v>
      </c>
      <c r="I124" s="164" t="s">
        <v>64</v>
      </c>
    </row>
    <row r="125" spans="3:9" ht="12.75">
      <c r="C125" s="164">
        <v>4</v>
      </c>
      <c r="D125" s="164">
        <v>-1</v>
      </c>
      <c r="E125" s="164">
        <v>-1</v>
      </c>
      <c r="F125" s="164">
        <v>40</v>
      </c>
      <c r="G125" s="164">
        <v>45</v>
      </c>
      <c r="I125" s="164" t="s">
        <v>64</v>
      </c>
    </row>
    <row r="126" spans="3:9" ht="12.75">
      <c r="C126" s="164">
        <v>5</v>
      </c>
      <c r="D126" s="164">
        <v>-1</v>
      </c>
      <c r="E126" s="164">
        <v>-1</v>
      </c>
      <c r="F126" s="164">
        <v>45</v>
      </c>
      <c r="G126" s="164">
        <v>50</v>
      </c>
      <c r="I126" s="164" t="s">
        <v>64</v>
      </c>
    </row>
    <row r="127" spans="3:9" ht="12.75">
      <c r="C127" s="164">
        <v>6</v>
      </c>
      <c r="D127" s="164">
        <v>-1</v>
      </c>
      <c r="E127" s="164">
        <v>-1</v>
      </c>
      <c r="F127" s="164">
        <v>50</v>
      </c>
      <c r="G127" s="164">
        <v>55</v>
      </c>
      <c r="I127" s="164" t="s">
        <v>64</v>
      </c>
    </row>
    <row r="128" spans="3:9" ht="12.75">
      <c r="C128" s="164">
        <v>7</v>
      </c>
      <c r="D128" s="164">
        <v>0</v>
      </c>
      <c r="E128" s="164">
        <v>0</v>
      </c>
      <c r="F128" s="164">
        <v>55</v>
      </c>
      <c r="G128" s="164">
        <v>60</v>
      </c>
      <c r="I128" s="164" t="s">
        <v>64</v>
      </c>
    </row>
    <row r="129" spans="3:9" ht="12.75">
      <c r="C129" s="164">
        <v>8</v>
      </c>
      <c r="D129" s="164">
        <v>0</v>
      </c>
      <c r="E129" s="164">
        <v>0</v>
      </c>
      <c r="F129" s="164">
        <v>60</v>
      </c>
      <c r="G129" s="164">
        <v>65</v>
      </c>
      <c r="I129" s="164" t="s">
        <v>64</v>
      </c>
    </row>
    <row r="130" spans="3:9" ht="12.75">
      <c r="C130" s="164">
        <v>9</v>
      </c>
      <c r="D130" s="164">
        <v>0</v>
      </c>
      <c r="E130" s="164">
        <v>0</v>
      </c>
      <c r="F130" s="164">
        <v>65</v>
      </c>
      <c r="G130" s="164">
        <v>70</v>
      </c>
      <c r="I130" s="164" t="s">
        <v>64</v>
      </c>
    </row>
    <row r="131" spans="3:9" ht="12.75">
      <c r="C131" s="164">
        <v>10</v>
      </c>
      <c r="D131" s="164">
        <v>0</v>
      </c>
      <c r="E131" s="164">
        <v>0</v>
      </c>
      <c r="F131" s="164">
        <v>70</v>
      </c>
      <c r="G131" s="164">
        <v>75</v>
      </c>
      <c r="I131" s="164" t="s">
        <v>64</v>
      </c>
    </row>
    <row r="132" spans="3:9" ht="12.75">
      <c r="C132" s="164">
        <v>11</v>
      </c>
      <c r="D132" s="164">
        <v>0</v>
      </c>
      <c r="E132" s="164">
        <v>0</v>
      </c>
      <c r="F132" s="164">
        <v>75</v>
      </c>
      <c r="G132" s="164">
        <v>80</v>
      </c>
      <c r="I132" s="164" t="s">
        <v>64</v>
      </c>
    </row>
    <row r="133" spans="3:9" ht="12.75">
      <c r="C133" s="164">
        <v>12</v>
      </c>
      <c r="D133" s="164">
        <v>0</v>
      </c>
      <c r="E133" s="164">
        <v>0</v>
      </c>
      <c r="F133" s="164">
        <v>80</v>
      </c>
      <c r="G133" s="164">
        <v>85</v>
      </c>
      <c r="I133" s="164" t="s">
        <v>64</v>
      </c>
    </row>
    <row r="134" spans="3:9" ht="12.75">
      <c r="C134" s="164">
        <v>13</v>
      </c>
      <c r="D134" s="164">
        <v>0</v>
      </c>
      <c r="E134" s="164">
        <v>0</v>
      </c>
      <c r="F134" s="164">
        <v>85</v>
      </c>
      <c r="G134" s="164">
        <v>90</v>
      </c>
      <c r="I134" s="164" t="s">
        <v>64</v>
      </c>
    </row>
    <row r="135" spans="3:9" ht="12.75">
      <c r="C135" s="164">
        <v>14</v>
      </c>
      <c r="D135" s="164">
        <v>0</v>
      </c>
      <c r="E135" s="164">
        <v>0</v>
      </c>
      <c r="F135" s="164">
        <v>88</v>
      </c>
      <c r="G135" s="164">
        <v>92</v>
      </c>
      <c r="I135" s="164" t="s">
        <v>64</v>
      </c>
    </row>
    <row r="136" spans="3:9" ht="12.75">
      <c r="C136" s="164">
        <v>15</v>
      </c>
      <c r="D136" s="164">
        <v>1</v>
      </c>
      <c r="E136" s="164">
        <v>1</v>
      </c>
      <c r="F136" s="164">
        <v>90</v>
      </c>
      <c r="G136" s="164">
        <v>94</v>
      </c>
      <c r="I136" s="164" t="s">
        <v>64</v>
      </c>
    </row>
    <row r="137" spans="3:10" ht="12.75">
      <c r="C137" s="164">
        <v>16</v>
      </c>
      <c r="D137" s="164">
        <v>2</v>
      </c>
      <c r="E137" s="164">
        <v>2</v>
      </c>
      <c r="F137" s="164">
        <v>95</v>
      </c>
      <c r="G137" s="164">
        <v>96</v>
      </c>
      <c r="I137" s="164" t="s">
        <v>64</v>
      </c>
      <c r="J137" s="164">
        <v>1</v>
      </c>
    </row>
    <row r="138" spans="3:10" ht="12.75">
      <c r="C138" s="164">
        <v>17</v>
      </c>
      <c r="D138" s="164">
        <v>3</v>
      </c>
      <c r="E138" s="164">
        <v>2</v>
      </c>
      <c r="F138" s="164">
        <v>97</v>
      </c>
      <c r="G138" s="164">
        <v>98</v>
      </c>
      <c r="I138" s="164" t="s">
        <v>64</v>
      </c>
      <c r="J138" s="164">
        <v>2</v>
      </c>
    </row>
    <row r="139" spans="3:10" ht="12.75">
      <c r="C139" s="164">
        <v>18</v>
      </c>
      <c r="D139" s="164">
        <v>4</v>
      </c>
      <c r="E139" s="164">
        <v>2</v>
      </c>
      <c r="F139" s="164">
        <v>99</v>
      </c>
      <c r="G139" s="164">
        <v>100</v>
      </c>
      <c r="I139" s="164" t="s">
        <v>64</v>
      </c>
      <c r="J139" s="164">
        <v>3</v>
      </c>
    </row>
    <row r="140" spans="3:10" ht="12.75">
      <c r="C140" s="164">
        <v>19</v>
      </c>
      <c r="D140" s="164">
        <v>5</v>
      </c>
      <c r="E140" s="164">
        <v>2</v>
      </c>
      <c r="F140" s="164">
        <v>99</v>
      </c>
      <c r="G140" s="164">
        <v>100</v>
      </c>
      <c r="H140" s="164">
        <v>1</v>
      </c>
      <c r="I140" s="164" t="s">
        <v>64</v>
      </c>
      <c r="J140" s="164">
        <v>4</v>
      </c>
    </row>
    <row r="141" spans="3:10" ht="12.75">
      <c r="C141" s="164">
        <v>20</v>
      </c>
      <c r="D141" s="164">
        <v>5</v>
      </c>
      <c r="E141" s="164">
        <v>2</v>
      </c>
      <c r="F141" s="164">
        <v>99</v>
      </c>
      <c r="G141" s="164">
        <v>100</v>
      </c>
      <c r="H141" s="164">
        <v>1</v>
      </c>
      <c r="I141" s="285" t="s">
        <v>65</v>
      </c>
      <c r="J141" s="164">
        <v>5</v>
      </c>
    </row>
    <row r="142" spans="3:10" ht="12.75">
      <c r="C142" s="164">
        <v>21</v>
      </c>
      <c r="D142" s="164">
        <v>6</v>
      </c>
      <c r="E142" s="164">
        <v>2</v>
      </c>
      <c r="F142" s="164">
        <v>99</v>
      </c>
      <c r="G142" s="164">
        <v>100</v>
      </c>
      <c r="H142" s="164">
        <v>2</v>
      </c>
      <c r="I142" s="286" t="s">
        <v>66</v>
      </c>
      <c r="J142" s="164">
        <v>6</v>
      </c>
    </row>
    <row r="143" spans="3:10" ht="12.75">
      <c r="C143" s="164">
        <v>22</v>
      </c>
      <c r="D143" s="164">
        <v>6</v>
      </c>
      <c r="E143" s="164">
        <v>2</v>
      </c>
      <c r="F143" s="164">
        <v>99</v>
      </c>
      <c r="G143" s="164">
        <v>100</v>
      </c>
      <c r="H143" s="164">
        <v>2</v>
      </c>
      <c r="I143" s="286" t="s">
        <v>67</v>
      </c>
      <c r="J143" s="164">
        <v>7</v>
      </c>
    </row>
    <row r="144" spans="3:10" ht="12.75">
      <c r="C144" s="164">
        <v>23</v>
      </c>
      <c r="D144" s="164">
        <v>6</v>
      </c>
      <c r="E144" s="164">
        <v>2</v>
      </c>
      <c r="F144" s="164">
        <v>99</v>
      </c>
      <c r="G144" s="164">
        <v>100</v>
      </c>
      <c r="H144" s="164">
        <v>3</v>
      </c>
      <c r="I144" s="285" t="s">
        <v>68</v>
      </c>
      <c r="J144" s="164">
        <v>8</v>
      </c>
    </row>
    <row r="145" spans="3:10" ht="12.75">
      <c r="C145" s="164">
        <v>24</v>
      </c>
      <c r="D145" s="164">
        <v>7</v>
      </c>
      <c r="E145" s="164">
        <v>2</v>
      </c>
      <c r="F145" s="164">
        <v>99</v>
      </c>
      <c r="G145" s="164">
        <v>100</v>
      </c>
      <c r="H145" s="164">
        <v>3</v>
      </c>
      <c r="I145" s="286" t="s">
        <v>69</v>
      </c>
      <c r="J145" s="164">
        <v>9</v>
      </c>
    </row>
    <row r="146" spans="3:10" ht="12.75">
      <c r="C146" s="164">
        <v>25</v>
      </c>
      <c r="D146" s="164">
        <v>7</v>
      </c>
      <c r="E146" s="164">
        <v>2</v>
      </c>
      <c r="F146" s="164">
        <v>100</v>
      </c>
      <c r="G146" s="164">
        <v>100</v>
      </c>
      <c r="H146" s="164">
        <v>4</v>
      </c>
      <c r="I146" s="164">
        <v>1</v>
      </c>
      <c r="J146" s="164">
        <v>10</v>
      </c>
    </row>
    <row r="148" spans="1:2" ht="12.75">
      <c r="A148" s="164" t="s">
        <v>62</v>
      </c>
      <c r="B148" s="164" t="s">
        <v>70</v>
      </c>
    </row>
    <row r="149" spans="1:2" ht="12.75">
      <c r="A149" s="164">
        <v>1</v>
      </c>
      <c r="B149" s="287"/>
    </row>
    <row r="150" spans="1:2" ht="12.75">
      <c r="A150" s="164">
        <v>2</v>
      </c>
      <c r="B150" s="284" t="s">
        <v>219</v>
      </c>
    </row>
    <row r="151" spans="1:2" ht="12.75">
      <c r="A151" s="164">
        <v>3</v>
      </c>
      <c r="B151" s="284" t="s">
        <v>220</v>
      </c>
    </row>
    <row r="152" spans="1:2" ht="12.75">
      <c r="A152" s="164">
        <v>4</v>
      </c>
      <c r="B152" s="284" t="s">
        <v>221</v>
      </c>
    </row>
    <row r="153" spans="1:2" ht="12.75">
      <c r="A153" s="164">
        <v>5</v>
      </c>
      <c r="B153" s="284" t="s">
        <v>222</v>
      </c>
    </row>
    <row r="154" spans="1:2" ht="12.75">
      <c r="A154" s="164">
        <v>6</v>
      </c>
      <c r="B154" s="284" t="s">
        <v>223</v>
      </c>
    </row>
    <row r="155" spans="1:2" ht="12.75">
      <c r="A155" s="164">
        <v>7</v>
      </c>
      <c r="B155" s="284" t="s">
        <v>224</v>
      </c>
    </row>
    <row r="156" spans="1:2" ht="12.75">
      <c r="A156" s="164">
        <v>8</v>
      </c>
      <c r="B156" s="284" t="s">
        <v>225</v>
      </c>
    </row>
    <row r="157" spans="1:2" ht="12.75">
      <c r="A157" s="164">
        <v>9</v>
      </c>
      <c r="B157" s="284" t="s">
        <v>226</v>
      </c>
    </row>
    <row r="158" spans="1:2" ht="12.75">
      <c r="A158" s="164">
        <v>10</v>
      </c>
      <c r="B158" s="284" t="s">
        <v>227</v>
      </c>
    </row>
    <row r="159" spans="1:2" ht="12.75">
      <c r="A159" s="164">
        <v>11</v>
      </c>
      <c r="B159" s="284" t="s">
        <v>228</v>
      </c>
    </row>
    <row r="160" spans="1:2" ht="12.75">
      <c r="A160" s="164">
        <v>12</v>
      </c>
      <c r="B160" s="284" t="s">
        <v>229</v>
      </c>
    </row>
    <row r="161" spans="1:2" ht="12.75">
      <c r="A161" s="164">
        <v>13</v>
      </c>
      <c r="B161" s="284" t="s">
        <v>230</v>
      </c>
    </row>
    <row r="162" spans="1:2" ht="12.75">
      <c r="A162" s="164">
        <v>14</v>
      </c>
      <c r="B162" s="284" t="s">
        <v>231</v>
      </c>
    </row>
    <row r="163" spans="1:2" ht="12.75">
      <c r="A163" s="164">
        <v>15</v>
      </c>
      <c r="B163" s="284" t="s">
        <v>71</v>
      </c>
    </row>
    <row r="164" spans="1:2" ht="12.75">
      <c r="A164" s="164">
        <v>16</v>
      </c>
      <c r="B164" s="284" t="s">
        <v>232</v>
      </c>
    </row>
    <row r="165" spans="1:2" ht="12.75">
      <c r="A165" s="164">
        <v>17</v>
      </c>
      <c r="B165" s="284" t="s">
        <v>233</v>
      </c>
    </row>
    <row r="166" spans="1:2" ht="12.75">
      <c r="A166" s="164">
        <v>18</v>
      </c>
      <c r="B166" s="284" t="s">
        <v>234</v>
      </c>
    </row>
    <row r="167" spans="1:2" ht="12.75">
      <c r="A167" s="164">
        <v>19</v>
      </c>
      <c r="B167" s="284" t="s">
        <v>235</v>
      </c>
    </row>
    <row r="168" spans="1:2" ht="12.75">
      <c r="A168" s="164">
        <v>20</v>
      </c>
      <c r="B168" s="284" t="s">
        <v>236</v>
      </c>
    </row>
    <row r="169" spans="1:2" ht="12.75">
      <c r="A169" s="164">
        <v>21</v>
      </c>
      <c r="B169" s="284" t="s">
        <v>237</v>
      </c>
    </row>
    <row r="170" spans="1:2" ht="12.75">
      <c r="A170" s="164">
        <v>22</v>
      </c>
      <c r="B170" s="284" t="s">
        <v>238</v>
      </c>
    </row>
    <row r="171" spans="1:2" ht="12.75">
      <c r="A171" s="164">
        <v>23</v>
      </c>
      <c r="B171" s="284" t="s">
        <v>239</v>
      </c>
    </row>
    <row r="172" spans="1:2" ht="12.75">
      <c r="A172" s="164">
        <v>24</v>
      </c>
      <c r="B172" s="284" t="s">
        <v>240</v>
      </c>
    </row>
    <row r="173" spans="1:2" ht="12.75">
      <c r="A173" s="164">
        <v>25</v>
      </c>
      <c r="B173" s="284" t="s">
        <v>241</v>
      </c>
    </row>
    <row r="174" spans="1:2" ht="12.75">
      <c r="A174" s="164">
        <v>26</v>
      </c>
      <c r="B174" s="284" t="s">
        <v>242</v>
      </c>
    </row>
    <row r="175" spans="1:2" ht="12.75">
      <c r="A175" s="164">
        <v>27</v>
      </c>
      <c r="B175" s="284" t="s">
        <v>243</v>
      </c>
    </row>
    <row r="176" spans="1:2" ht="12.75">
      <c r="A176" s="164">
        <v>28</v>
      </c>
      <c r="B176" s="284" t="s">
        <v>244</v>
      </c>
    </row>
    <row r="177" spans="1:2" ht="12.75">
      <c r="A177" s="164">
        <v>29</v>
      </c>
      <c r="B177" s="284" t="s">
        <v>245</v>
      </c>
    </row>
    <row r="178" spans="1:2" ht="12.75">
      <c r="A178" s="164">
        <v>30</v>
      </c>
      <c r="B178" s="284" t="s">
        <v>246</v>
      </c>
    </row>
    <row r="179" spans="1:2" ht="12.75">
      <c r="A179" s="164">
        <v>31</v>
      </c>
      <c r="B179" s="284" t="s">
        <v>247</v>
      </c>
    </row>
    <row r="180" spans="1:2" ht="12.75">
      <c r="A180" s="164">
        <v>32</v>
      </c>
      <c r="B180" s="284" t="s">
        <v>248</v>
      </c>
    </row>
    <row r="181" spans="1:2" ht="12.75">
      <c r="A181" s="164">
        <v>33</v>
      </c>
      <c r="B181" s="284" t="s">
        <v>249</v>
      </c>
    </row>
    <row r="182" spans="1:2" ht="12.75">
      <c r="A182" s="164">
        <v>34</v>
      </c>
      <c r="B182" s="284" t="s">
        <v>250</v>
      </c>
    </row>
    <row r="183" spans="1:2" ht="12.75">
      <c r="A183" s="164">
        <v>35</v>
      </c>
      <c r="B183" s="284" t="s">
        <v>251</v>
      </c>
    </row>
    <row r="184" spans="1:2" ht="12.75">
      <c r="A184" s="164">
        <v>36</v>
      </c>
      <c r="B184" s="284" t="s">
        <v>252</v>
      </c>
    </row>
    <row r="185" spans="1:2" ht="12.75">
      <c r="A185" s="164">
        <v>37</v>
      </c>
      <c r="B185" s="284" t="s">
        <v>253</v>
      </c>
    </row>
    <row r="186" spans="1:2" ht="12.75">
      <c r="A186" s="164">
        <v>38</v>
      </c>
      <c r="B186" s="284" t="s">
        <v>254</v>
      </c>
    </row>
    <row r="187" spans="1:2" ht="12.75">
      <c r="A187" s="164">
        <v>39</v>
      </c>
      <c r="B187" s="284" t="s">
        <v>255</v>
      </c>
    </row>
    <row r="188" spans="1:2" ht="12.75">
      <c r="A188" s="164">
        <v>40</v>
      </c>
      <c r="B188" s="284" t="s">
        <v>256</v>
      </c>
    </row>
    <row r="189" spans="1:2" ht="12.75">
      <c r="A189" s="164">
        <v>41</v>
      </c>
      <c r="B189" s="284" t="s">
        <v>257</v>
      </c>
    </row>
    <row r="190" spans="1:2" ht="12.75">
      <c r="A190" s="164">
        <v>42</v>
      </c>
      <c r="B190" s="284" t="s">
        <v>258</v>
      </c>
    </row>
    <row r="191" spans="1:2" ht="12.75">
      <c r="A191" s="164">
        <v>43</v>
      </c>
      <c r="B191" s="284" t="s">
        <v>259</v>
      </c>
    </row>
    <row r="192" spans="1:2" ht="12.75">
      <c r="A192" s="164">
        <v>44</v>
      </c>
      <c r="B192" s="284" t="s">
        <v>260</v>
      </c>
    </row>
    <row r="193" ht="12.75">
      <c r="B193" s="284"/>
    </row>
    <row r="194" ht="12.75">
      <c r="B194" s="284"/>
    </row>
    <row r="196" spans="1:8" ht="12.75">
      <c r="A196" s="164" t="s">
        <v>62</v>
      </c>
      <c r="B196" s="164" t="s">
        <v>0</v>
      </c>
      <c r="C196" s="164" t="s">
        <v>72</v>
      </c>
      <c r="D196" s="164" t="s">
        <v>73</v>
      </c>
      <c r="E196" s="164" t="s">
        <v>74</v>
      </c>
      <c r="F196" s="164" t="s">
        <v>75</v>
      </c>
      <c r="G196" s="164" t="s">
        <v>76</v>
      </c>
      <c r="H196" s="164" t="s">
        <v>77</v>
      </c>
    </row>
    <row r="197" spans="2:8" ht="12.75">
      <c r="B197" s="164">
        <v>1</v>
      </c>
      <c r="C197" s="164">
        <v>-5</v>
      </c>
      <c r="D197" s="164">
        <v>-4</v>
      </c>
      <c r="E197" s="164">
        <v>1</v>
      </c>
      <c r="F197" s="164">
        <v>3</v>
      </c>
      <c r="G197" s="164">
        <v>1</v>
      </c>
      <c r="H197" s="164">
        <v>0</v>
      </c>
    </row>
    <row r="198" spans="2:8" ht="12.75">
      <c r="B198" s="164">
        <v>2</v>
      </c>
      <c r="C198" s="164">
        <v>-3</v>
      </c>
      <c r="D198" s="164">
        <v>-2</v>
      </c>
      <c r="E198" s="164">
        <v>1</v>
      </c>
      <c r="F198" s="164">
        <v>5</v>
      </c>
      <c r="G198" s="164">
        <v>1</v>
      </c>
      <c r="H198" s="164">
        <v>0</v>
      </c>
    </row>
    <row r="199" spans="2:8" ht="12.75">
      <c r="B199" s="164">
        <v>3</v>
      </c>
      <c r="C199" s="164">
        <v>-3</v>
      </c>
      <c r="D199" s="164">
        <v>-1</v>
      </c>
      <c r="E199" s="164">
        <v>5</v>
      </c>
      <c r="F199" s="164">
        <v>10</v>
      </c>
      <c r="G199" s="164">
        <v>2</v>
      </c>
      <c r="H199" s="164">
        <v>0</v>
      </c>
    </row>
    <row r="200" spans="2:8" ht="12.75">
      <c r="B200" s="164">
        <v>4</v>
      </c>
      <c r="C200" s="164">
        <v>-2</v>
      </c>
      <c r="D200" s="164">
        <v>-1</v>
      </c>
      <c r="E200" s="164">
        <v>10</v>
      </c>
      <c r="F200" s="164">
        <v>25</v>
      </c>
      <c r="G200" s="164">
        <v>3</v>
      </c>
      <c r="H200" s="164">
        <v>0</v>
      </c>
    </row>
    <row r="201" spans="2:8" ht="12.75">
      <c r="B201" s="164">
        <v>5</v>
      </c>
      <c r="C201" s="164">
        <v>-1</v>
      </c>
      <c r="E201" s="164">
        <v>10</v>
      </c>
      <c r="F201" s="164">
        <v>25</v>
      </c>
      <c r="G201" s="164">
        <v>3</v>
      </c>
      <c r="H201" s="164">
        <v>0</v>
      </c>
    </row>
    <row r="202" spans="2:8" ht="12.75">
      <c r="B202" s="164">
        <v>6</v>
      </c>
      <c r="E202" s="164">
        <v>20</v>
      </c>
      <c r="F202" s="164">
        <v>55</v>
      </c>
      <c r="G202" s="164">
        <v>4</v>
      </c>
      <c r="H202" s="164">
        <v>0</v>
      </c>
    </row>
    <row r="203" spans="2:8" ht="12.75">
      <c r="B203" s="164">
        <v>7</v>
      </c>
      <c r="E203" s="164">
        <v>20</v>
      </c>
      <c r="F203" s="164">
        <v>55</v>
      </c>
      <c r="G203" s="164">
        <v>4</v>
      </c>
      <c r="H203" s="164">
        <v>0</v>
      </c>
    </row>
    <row r="204" spans="2:8" ht="12.75">
      <c r="B204" s="164">
        <v>8</v>
      </c>
      <c r="E204" s="164">
        <v>35</v>
      </c>
      <c r="F204" s="164">
        <v>90</v>
      </c>
      <c r="G204" s="164">
        <v>5</v>
      </c>
      <c r="H204" s="164">
        <v>1</v>
      </c>
    </row>
    <row r="205" spans="2:8" ht="12.75">
      <c r="B205" s="164">
        <v>9</v>
      </c>
      <c r="E205" s="164">
        <v>35</v>
      </c>
      <c r="F205" s="164">
        <v>90</v>
      </c>
      <c r="G205" s="164">
        <v>5</v>
      </c>
      <c r="H205" s="164">
        <v>1</v>
      </c>
    </row>
    <row r="206" spans="2:8" ht="12.75">
      <c r="B206" s="164">
        <v>10</v>
      </c>
      <c r="E206" s="164">
        <v>40</v>
      </c>
      <c r="F206" s="164">
        <v>115</v>
      </c>
      <c r="G206" s="164">
        <v>6</v>
      </c>
      <c r="H206" s="164">
        <v>2</v>
      </c>
    </row>
    <row r="207" spans="2:8" ht="12.75">
      <c r="B207" s="164">
        <v>11</v>
      </c>
      <c r="E207" s="164">
        <v>40</v>
      </c>
      <c r="F207" s="164">
        <v>115</v>
      </c>
      <c r="G207" s="164">
        <v>6</v>
      </c>
      <c r="H207" s="164">
        <v>2</v>
      </c>
    </row>
    <row r="208" spans="2:8" ht="12.75">
      <c r="B208" s="164">
        <v>12</v>
      </c>
      <c r="E208" s="164">
        <v>45</v>
      </c>
      <c r="F208" s="164">
        <v>140</v>
      </c>
      <c r="G208" s="164">
        <v>7</v>
      </c>
      <c r="H208" s="164">
        <v>4</v>
      </c>
    </row>
    <row r="209" spans="2:8" ht="12.75">
      <c r="B209" s="164">
        <v>13</v>
      </c>
      <c r="E209" s="164">
        <v>45</v>
      </c>
      <c r="F209" s="164">
        <v>140</v>
      </c>
      <c r="G209" s="164">
        <v>7</v>
      </c>
      <c r="H209" s="164">
        <v>4</v>
      </c>
    </row>
    <row r="210" spans="2:8" ht="12.75">
      <c r="B210" s="164">
        <v>14</v>
      </c>
      <c r="E210" s="164">
        <v>55</v>
      </c>
      <c r="F210" s="164">
        <v>170</v>
      </c>
      <c r="G210" s="164">
        <v>8</v>
      </c>
      <c r="H210" s="164">
        <v>7</v>
      </c>
    </row>
    <row r="211" spans="2:8" ht="12.75">
      <c r="B211" s="164">
        <v>15</v>
      </c>
      <c r="E211" s="164">
        <v>55</v>
      </c>
      <c r="F211" s="164">
        <v>170</v>
      </c>
      <c r="G211" s="164">
        <v>8</v>
      </c>
      <c r="H211" s="164">
        <v>7</v>
      </c>
    </row>
    <row r="212" spans="2:8" ht="12.75">
      <c r="B212" s="164">
        <v>16</v>
      </c>
      <c r="D212" s="164">
        <v>1</v>
      </c>
      <c r="E212" s="164">
        <v>70</v>
      </c>
      <c r="F212" s="164">
        <v>195</v>
      </c>
      <c r="G212" s="164">
        <v>9</v>
      </c>
      <c r="H212" s="164">
        <v>10</v>
      </c>
    </row>
    <row r="213" spans="2:8" ht="12.75">
      <c r="B213" s="164">
        <v>17</v>
      </c>
      <c r="C213" s="164">
        <v>1</v>
      </c>
      <c r="D213" s="164">
        <v>1</v>
      </c>
      <c r="E213" s="164">
        <v>85</v>
      </c>
      <c r="F213" s="164">
        <v>220</v>
      </c>
      <c r="G213" s="164">
        <v>10</v>
      </c>
      <c r="H213" s="164">
        <v>13</v>
      </c>
    </row>
    <row r="214" spans="2:8" ht="12.75">
      <c r="B214" s="164">
        <v>18</v>
      </c>
      <c r="C214" s="164">
        <v>1</v>
      </c>
      <c r="D214" s="164">
        <v>2</v>
      </c>
      <c r="E214" s="164">
        <v>110</v>
      </c>
      <c r="F214" s="164">
        <v>255</v>
      </c>
      <c r="G214" s="164">
        <v>11</v>
      </c>
      <c r="H214" s="164">
        <v>16</v>
      </c>
    </row>
    <row r="215" spans="2:8" ht="12.75">
      <c r="B215" s="164">
        <v>19</v>
      </c>
      <c r="C215" s="164">
        <v>3</v>
      </c>
      <c r="D215" s="164">
        <v>7</v>
      </c>
      <c r="E215" s="164">
        <v>485</v>
      </c>
      <c r="F215" s="164">
        <v>640</v>
      </c>
      <c r="G215" s="164">
        <v>16</v>
      </c>
      <c r="H215" s="164">
        <v>50</v>
      </c>
    </row>
    <row r="216" spans="2:8" ht="12.75">
      <c r="B216" s="164">
        <v>20</v>
      </c>
      <c r="C216" s="164">
        <v>20</v>
      </c>
      <c r="D216" s="164">
        <v>8</v>
      </c>
      <c r="E216" s="164">
        <v>535</v>
      </c>
      <c r="F216" s="164">
        <v>700</v>
      </c>
      <c r="G216" s="164">
        <v>17</v>
      </c>
      <c r="H216" s="164">
        <v>60</v>
      </c>
    </row>
    <row r="217" spans="2:8" ht="12.75">
      <c r="B217" s="164">
        <v>21</v>
      </c>
      <c r="C217" s="164">
        <v>4</v>
      </c>
      <c r="D217" s="164">
        <v>9</v>
      </c>
      <c r="E217" s="164">
        <v>635</v>
      </c>
      <c r="F217" s="164">
        <v>810</v>
      </c>
      <c r="G217" s="164">
        <v>17</v>
      </c>
      <c r="H217" s="164">
        <v>70</v>
      </c>
    </row>
    <row r="218" spans="2:8" ht="12.75">
      <c r="B218" s="164">
        <v>22</v>
      </c>
      <c r="C218" s="164">
        <v>4</v>
      </c>
      <c r="D218" s="164">
        <v>10</v>
      </c>
      <c r="E218" s="164">
        <v>785</v>
      </c>
      <c r="F218" s="164">
        <v>970</v>
      </c>
      <c r="G218" s="164">
        <v>18</v>
      </c>
      <c r="H218" s="164">
        <v>80</v>
      </c>
    </row>
    <row r="219" spans="2:8" ht="12.75">
      <c r="B219" s="164">
        <v>23</v>
      </c>
      <c r="C219" s="164">
        <v>5</v>
      </c>
      <c r="D219" s="164">
        <v>11</v>
      </c>
      <c r="E219" s="164">
        <v>935</v>
      </c>
      <c r="F219" s="164">
        <v>1130</v>
      </c>
      <c r="G219" s="164">
        <v>18</v>
      </c>
      <c r="H219" s="164">
        <v>90</v>
      </c>
    </row>
    <row r="220" spans="2:8" ht="12.75">
      <c r="B220" s="164">
        <v>24</v>
      </c>
      <c r="C220" s="164">
        <v>6</v>
      </c>
      <c r="D220" s="164">
        <v>12</v>
      </c>
      <c r="E220" s="164">
        <v>1235</v>
      </c>
      <c r="F220" s="164">
        <v>1440</v>
      </c>
      <c r="G220" s="164">
        <v>19</v>
      </c>
      <c r="H220" s="164">
        <v>95</v>
      </c>
    </row>
    <row r="221" spans="2:10" ht="12.75">
      <c r="B221" s="164">
        <v>25</v>
      </c>
      <c r="C221" s="164">
        <v>7</v>
      </c>
      <c r="D221" s="164">
        <v>14</v>
      </c>
      <c r="E221" s="164">
        <v>1535</v>
      </c>
      <c r="F221" s="164">
        <v>1750</v>
      </c>
      <c r="G221" s="164">
        <v>19</v>
      </c>
      <c r="H221" s="164">
        <v>99</v>
      </c>
      <c r="J221" s="288"/>
    </row>
    <row r="223" spans="1:4" ht="12.75">
      <c r="A223" s="164" t="s">
        <v>78</v>
      </c>
      <c r="B223" s="164" t="s">
        <v>79</v>
      </c>
      <c r="C223" s="164" t="s">
        <v>80</v>
      </c>
      <c r="D223" s="164" t="s">
        <v>73</v>
      </c>
    </row>
    <row r="224" spans="1:8" ht="12.75">
      <c r="A224" s="164">
        <v>-50</v>
      </c>
      <c r="B224" s="164">
        <v>1</v>
      </c>
      <c r="C224" s="164">
        <v>1</v>
      </c>
      <c r="D224" s="164">
        <v>3</v>
      </c>
      <c r="E224" s="164">
        <v>135</v>
      </c>
      <c r="F224" s="164">
        <v>280</v>
      </c>
      <c r="G224" s="164">
        <v>12</v>
      </c>
      <c r="H224" s="164">
        <v>20</v>
      </c>
    </row>
    <row r="225" spans="1:8" ht="12.75">
      <c r="A225" s="164">
        <v>-75</v>
      </c>
      <c r="B225" s="164">
        <v>2</v>
      </c>
      <c r="C225" s="164">
        <v>2</v>
      </c>
      <c r="D225" s="164">
        <v>3</v>
      </c>
      <c r="E225" s="164">
        <v>160</v>
      </c>
      <c r="F225" s="164">
        <v>305</v>
      </c>
      <c r="G225" s="164">
        <v>13</v>
      </c>
      <c r="H225" s="164">
        <v>25</v>
      </c>
    </row>
    <row r="226" spans="1:8" ht="12.75">
      <c r="A226" s="164">
        <v>-90</v>
      </c>
      <c r="B226" s="164">
        <v>3</v>
      </c>
      <c r="C226" s="164">
        <v>2</v>
      </c>
      <c r="D226" s="164">
        <v>4</v>
      </c>
      <c r="E226" s="164">
        <v>185</v>
      </c>
      <c r="F226" s="164">
        <v>330</v>
      </c>
      <c r="G226" s="164">
        <v>14</v>
      </c>
      <c r="H226" s="164">
        <v>30</v>
      </c>
    </row>
    <row r="227" spans="1:8" ht="12.75">
      <c r="A227" s="164">
        <v>-99</v>
      </c>
      <c r="B227" s="164">
        <v>4</v>
      </c>
      <c r="C227" s="164">
        <v>2</v>
      </c>
      <c r="D227" s="164">
        <v>5</v>
      </c>
      <c r="E227" s="164">
        <v>235</v>
      </c>
      <c r="F227" s="164">
        <v>380</v>
      </c>
      <c r="G227" s="164">
        <v>15</v>
      </c>
      <c r="H227" s="164">
        <v>35</v>
      </c>
    </row>
    <row r="228" spans="1:8" ht="12.75">
      <c r="A228" s="164">
        <v>0</v>
      </c>
      <c r="B228" s="164">
        <v>5</v>
      </c>
      <c r="C228" s="164">
        <v>3</v>
      </c>
      <c r="D228" s="164">
        <v>6</v>
      </c>
      <c r="E228" s="164">
        <v>335</v>
      </c>
      <c r="F228" s="164">
        <v>480</v>
      </c>
      <c r="G228" s="164">
        <v>16</v>
      </c>
      <c r="H228" s="164">
        <v>40</v>
      </c>
    </row>
    <row r="229" spans="2:5" ht="12.75">
      <c r="B229" s="164" t="s">
        <v>80</v>
      </c>
      <c r="C229" s="164" t="s">
        <v>81</v>
      </c>
      <c r="D229" s="164" t="s">
        <v>82</v>
      </c>
      <c r="E229" s="164" t="s">
        <v>75</v>
      </c>
    </row>
    <row r="230" spans="1:7" ht="12.75">
      <c r="A230" s="164" t="s">
        <v>83</v>
      </c>
      <c r="B230" s="164">
        <f>(VLOOKUP(Eingabe!$E$17,Daten!$B$197:$H$221,2))</f>
        <v>1</v>
      </c>
      <c r="C230" s="164">
        <f>(VLOOKUP(Eingabe!$E$17,Daten!$B$197:$H$221,3))</f>
        <v>2</v>
      </c>
      <c r="D230" s="164">
        <f>(VLOOKUP(Eingabe!$E$17,Daten!$B$197:$H$221,4))</f>
        <v>110</v>
      </c>
      <c r="E230" s="164">
        <f>(VLOOKUP(Eingabe!$E$17,Daten!$B$197:$H$221,5))</f>
        <v>255</v>
      </c>
      <c r="F230" s="164">
        <f>(VLOOKUP(Eingabe!$E$17,Daten!$B$197:$H$221,6))</f>
        <v>11</v>
      </c>
      <c r="G230" s="164">
        <f>(VLOOKUP(Eingabe!$E$17,Daten!$B$197:$H$221,7))</f>
        <v>16</v>
      </c>
    </row>
    <row r="231" spans="2:7" ht="12.75">
      <c r="B231" s="164">
        <f>IF(Eingabe!$B$27=100,3,IF(Eingabe!E17&gt;17,IF(Eingabe!$B$27&gt;50,2,1),0))</f>
        <v>2</v>
      </c>
      <c r="C231" s="164">
        <f>IF(Eingabe!$B$27=100,D228,IF(Eingabe!$B$27&gt;90,D227,IF(Eingabe!$B$27&gt;75,D226,IF(Eingabe!$B$27&gt;50,D225,IF(Eingabe!$B$27&gt;0,D224,0)))))</f>
        <v>4</v>
      </c>
      <c r="D231" s="164">
        <f>IF(Eingabe!$B$27=100,E228,IF(Eingabe!$B$27&gt;90,E227,IF(Eingabe!$B$27&gt;75,E226,IF(Eingabe!$B$27&gt;50,E225,IF(Eingabe!$B$27&gt;0,E224,0)))))</f>
        <v>185</v>
      </c>
      <c r="E231" s="164">
        <f>IF(Eingabe!$B$27=100,F228,IF(Eingabe!$B$27&gt;90,F227,IF(Eingabe!$B$27&gt;75,F226,IF(Eingabe!$B$27&gt;50,F225,IF(Eingabe!$B$27&gt;0,F224,0)))))</f>
        <v>330</v>
      </c>
      <c r="F231" s="164">
        <f>IF(Eingabe!$B$27=100,G228,IF(Eingabe!$B$27&gt;90,G227,IF(Eingabe!$B$27&gt;75,G226,IF(Eingabe!$B$27&gt;50,G225,IF(Eingabe!$B$27&gt;0,G224,0)))))</f>
        <v>14</v>
      </c>
      <c r="G231" s="164">
        <f>IF(Eingabe!$B$27=100,H228,IF(Eingabe!$B$27&gt;90,H227,IF(Eingabe!$B$27&gt;75,H226,IF(Eingabe!$B$27&gt;50,H225,IF(Eingabe!$B$27&gt;0,H224,0)))))</f>
        <v>30</v>
      </c>
    </row>
    <row r="235" spans="1:5" ht="12.75">
      <c r="A235" s="164" t="s">
        <v>62</v>
      </c>
      <c r="B235" s="164" t="s">
        <v>84</v>
      </c>
      <c r="C235" s="164" t="s">
        <v>85</v>
      </c>
      <c r="D235" s="164" t="s">
        <v>86</v>
      </c>
      <c r="E235" s="164" t="s">
        <v>87</v>
      </c>
    </row>
    <row r="236" spans="2:5" ht="12.75">
      <c r="B236" s="164">
        <v>1</v>
      </c>
      <c r="C236" s="164">
        <v>-6</v>
      </c>
      <c r="D236" s="164">
        <v>-6</v>
      </c>
      <c r="E236" s="164">
        <v>5</v>
      </c>
    </row>
    <row r="237" spans="1:5" ht="12.75">
      <c r="A237" s="164" t="s">
        <v>106</v>
      </c>
      <c r="B237" s="164">
        <v>2</v>
      </c>
      <c r="C237" s="164">
        <v>-4</v>
      </c>
      <c r="D237" s="164">
        <v>-4</v>
      </c>
      <c r="E237" s="164">
        <v>5</v>
      </c>
    </row>
    <row r="238" spans="1:5" ht="12.75">
      <c r="A238" s="164" t="s">
        <v>106</v>
      </c>
      <c r="B238" s="164">
        <v>3</v>
      </c>
      <c r="C238" s="164">
        <v>-3</v>
      </c>
      <c r="D238" s="164">
        <v>-3</v>
      </c>
      <c r="E238" s="164">
        <v>4</v>
      </c>
    </row>
    <row r="239" spans="1:5" ht="12.75">
      <c r="A239" s="164" t="s">
        <v>106</v>
      </c>
      <c r="B239" s="164">
        <v>4</v>
      </c>
      <c r="C239" s="164">
        <v>-2</v>
      </c>
      <c r="D239" s="164">
        <v>-2</v>
      </c>
      <c r="E239" s="164">
        <v>3</v>
      </c>
    </row>
    <row r="240" spans="1:5" ht="12.75">
      <c r="A240" s="164" t="s">
        <v>106</v>
      </c>
      <c r="B240" s="164">
        <v>5</v>
      </c>
      <c r="C240" s="164">
        <v>-1</v>
      </c>
      <c r="D240" s="164">
        <v>-1</v>
      </c>
      <c r="E240" s="164">
        <v>2</v>
      </c>
    </row>
    <row r="241" spans="1:5" ht="12.75">
      <c r="A241" s="164" t="s">
        <v>106</v>
      </c>
      <c r="B241" s="164">
        <v>6</v>
      </c>
      <c r="C241" s="164">
        <v>0</v>
      </c>
      <c r="D241" s="164">
        <v>0</v>
      </c>
      <c r="E241" s="164">
        <v>1</v>
      </c>
    </row>
    <row r="242" spans="2:5" ht="12.75">
      <c r="B242" s="164">
        <v>7</v>
      </c>
      <c r="C242" s="164">
        <v>0</v>
      </c>
      <c r="D242" s="164">
        <v>0</v>
      </c>
      <c r="E242" s="164">
        <v>0</v>
      </c>
    </row>
    <row r="243" spans="2:5" ht="12.75">
      <c r="B243" s="164">
        <v>8</v>
      </c>
      <c r="C243" s="164">
        <v>0</v>
      </c>
      <c r="D243" s="164">
        <v>0</v>
      </c>
      <c r="E243" s="164">
        <v>0</v>
      </c>
    </row>
    <row r="244" spans="2:5" ht="12.75">
      <c r="B244" s="164">
        <v>9</v>
      </c>
      <c r="C244" s="164">
        <v>0</v>
      </c>
      <c r="D244" s="164">
        <v>0</v>
      </c>
      <c r="E244" s="164">
        <v>0</v>
      </c>
    </row>
    <row r="245" spans="2:5" ht="12.75">
      <c r="B245" s="164">
        <v>10</v>
      </c>
      <c r="C245" s="164">
        <v>0</v>
      </c>
      <c r="D245" s="164">
        <v>0</v>
      </c>
      <c r="E245" s="164">
        <v>0</v>
      </c>
    </row>
    <row r="246" spans="2:5" ht="12.75">
      <c r="B246" s="164">
        <v>11</v>
      </c>
      <c r="C246" s="164">
        <v>0</v>
      </c>
      <c r="D246" s="164">
        <v>0</v>
      </c>
      <c r="E246" s="164">
        <v>0</v>
      </c>
    </row>
    <row r="247" spans="2:5" ht="12.75">
      <c r="B247" s="164">
        <v>12</v>
      </c>
      <c r="C247" s="164">
        <v>0</v>
      </c>
      <c r="D247" s="164">
        <v>0</v>
      </c>
      <c r="E247" s="164">
        <v>0</v>
      </c>
    </row>
    <row r="248" spans="2:5" ht="12.75">
      <c r="B248" s="164">
        <v>13</v>
      </c>
      <c r="C248" s="164">
        <v>0</v>
      </c>
      <c r="D248" s="164">
        <v>0</v>
      </c>
      <c r="E248" s="164">
        <v>0</v>
      </c>
    </row>
    <row r="249" spans="2:5" ht="12.75">
      <c r="B249" s="164">
        <v>14</v>
      </c>
      <c r="C249" s="164">
        <v>0</v>
      </c>
      <c r="D249" s="164">
        <v>0</v>
      </c>
      <c r="E249" s="164">
        <v>0</v>
      </c>
    </row>
    <row r="250" spans="2:5" ht="12.75">
      <c r="B250" s="164">
        <v>15</v>
      </c>
      <c r="C250" s="164">
        <v>0</v>
      </c>
      <c r="D250" s="164">
        <v>0</v>
      </c>
      <c r="E250" s="164">
        <v>-1</v>
      </c>
    </row>
    <row r="251" spans="2:5" ht="12.75">
      <c r="B251" s="164">
        <v>16</v>
      </c>
      <c r="C251" s="164">
        <v>1</v>
      </c>
      <c r="D251" s="164">
        <v>0</v>
      </c>
      <c r="E251" s="164">
        <v>-2</v>
      </c>
    </row>
    <row r="252" spans="2:5" ht="12.75">
      <c r="B252" s="164">
        <v>17</v>
      </c>
      <c r="C252" s="164">
        <v>2</v>
      </c>
      <c r="D252" s="164">
        <v>1</v>
      </c>
      <c r="E252" s="164">
        <v>-3</v>
      </c>
    </row>
    <row r="253" spans="2:5" ht="12.75">
      <c r="B253" s="164">
        <v>18</v>
      </c>
      <c r="C253" s="164">
        <v>2</v>
      </c>
      <c r="D253" s="164">
        <v>2</v>
      </c>
      <c r="E253" s="164">
        <v>-4</v>
      </c>
    </row>
    <row r="254" spans="2:5" ht="12.75">
      <c r="B254" s="164">
        <v>19</v>
      </c>
      <c r="C254" s="164">
        <v>3</v>
      </c>
      <c r="D254" s="164">
        <v>3</v>
      </c>
      <c r="E254" s="164">
        <v>-4</v>
      </c>
    </row>
    <row r="255" spans="2:5" ht="12.75">
      <c r="B255" s="164">
        <v>20</v>
      </c>
      <c r="C255" s="164">
        <v>3</v>
      </c>
      <c r="D255" s="164">
        <v>3</v>
      </c>
      <c r="E255" s="164">
        <v>-4</v>
      </c>
    </row>
    <row r="256" spans="2:5" ht="12.75">
      <c r="B256" s="164">
        <v>21</v>
      </c>
      <c r="C256" s="164">
        <v>4</v>
      </c>
      <c r="D256" s="164">
        <v>4</v>
      </c>
      <c r="E256" s="164">
        <v>-5</v>
      </c>
    </row>
    <row r="257" spans="2:5" ht="12.75">
      <c r="B257" s="164">
        <v>22</v>
      </c>
      <c r="C257" s="164">
        <v>4</v>
      </c>
      <c r="D257" s="164">
        <v>4</v>
      </c>
      <c r="E257" s="164">
        <v>-5</v>
      </c>
    </row>
    <row r="258" spans="2:5" ht="12.75">
      <c r="B258" s="164">
        <v>23</v>
      </c>
      <c r="C258" s="164">
        <v>4</v>
      </c>
      <c r="D258" s="164">
        <v>4</v>
      </c>
      <c r="E258" s="164">
        <v>-5</v>
      </c>
    </row>
    <row r="259" spans="2:5" ht="12.75">
      <c r="B259" s="164">
        <v>24</v>
      </c>
      <c r="C259" s="164">
        <v>5</v>
      </c>
      <c r="D259" s="164">
        <v>5</v>
      </c>
      <c r="E259" s="164">
        <v>-6</v>
      </c>
    </row>
    <row r="260" spans="2:5" ht="12.75">
      <c r="B260" s="164">
        <v>25</v>
      </c>
      <c r="C260" s="164">
        <v>5</v>
      </c>
      <c r="D260" s="164">
        <v>5</v>
      </c>
      <c r="E260" s="164">
        <v>-6</v>
      </c>
    </row>
    <row r="262" spans="1:8" ht="12.75">
      <c r="A262" s="164" t="s">
        <v>62</v>
      </c>
      <c r="B262" s="164" t="s">
        <v>88</v>
      </c>
      <c r="C262" s="164" t="s">
        <v>89</v>
      </c>
      <c r="D262" s="164" t="s">
        <v>90</v>
      </c>
      <c r="E262" s="164" t="s">
        <v>91</v>
      </c>
      <c r="F262" s="164" t="s">
        <v>92</v>
      </c>
      <c r="G262" s="164" t="s">
        <v>93</v>
      </c>
      <c r="H262" s="164" t="s">
        <v>61</v>
      </c>
    </row>
    <row r="263" spans="2:7" ht="12.75">
      <c r="B263" s="164">
        <v>1</v>
      </c>
      <c r="C263" s="164">
        <v>0</v>
      </c>
      <c r="D263" s="164" t="s">
        <v>64</v>
      </c>
      <c r="E263" s="164" t="s">
        <v>64</v>
      </c>
      <c r="F263" s="164" t="s">
        <v>64</v>
      </c>
      <c r="G263" s="164" t="s">
        <v>64</v>
      </c>
    </row>
    <row r="264" spans="2:7" ht="12.75">
      <c r="B264" s="164">
        <v>2</v>
      </c>
      <c r="C264" s="164">
        <v>1</v>
      </c>
      <c r="D264" s="164" t="s">
        <v>64</v>
      </c>
      <c r="E264" s="164" t="s">
        <v>64</v>
      </c>
      <c r="F264" s="164" t="s">
        <v>64</v>
      </c>
      <c r="G264" s="164" t="s">
        <v>64</v>
      </c>
    </row>
    <row r="265" spans="2:7" ht="12.75">
      <c r="B265" s="164">
        <v>3</v>
      </c>
      <c r="C265" s="164">
        <v>1</v>
      </c>
      <c r="D265" s="164" t="s">
        <v>64</v>
      </c>
      <c r="E265" s="164" t="s">
        <v>64</v>
      </c>
      <c r="F265" s="164" t="s">
        <v>64</v>
      </c>
      <c r="G265" s="164" t="s">
        <v>64</v>
      </c>
    </row>
    <row r="266" spans="2:7" ht="12.75">
      <c r="B266" s="164">
        <v>4</v>
      </c>
      <c r="C266" s="164">
        <v>1</v>
      </c>
      <c r="D266" s="164" t="s">
        <v>64</v>
      </c>
      <c r="E266" s="164" t="s">
        <v>64</v>
      </c>
      <c r="F266" s="164" t="s">
        <v>64</v>
      </c>
      <c r="G266" s="164" t="s">
        <v>64</v>
      </c>
    </row>
    <row r="267" spans="2:7" ht="12.75">
      <c r="B267" s="164">
        <v>5</v>
      </c>
      <c r="C267" s="164">
        <v>1</v>
      </c>
      <c r="D267" s="164" t="s">
        <v>64</v>
      </c>
      <c r="E267" s="164" t="s">
        <v>64</v>
      </c>
      <c r="F267" s="164" t="s">
        <v>64</v>
      </c>
      <c r="G267" s="164" t="s">
        <v>64</v>
      </c>
    </row>
    <row r="268" spans="2:7" ht="12.75">
      <c r="B268" s="164">
        <v>6</v>
      </c>
      <c r="C268" s="164">
        <v>1</v>
      </c>
      <c r="D268" s="164" t="s">
        <v>64</v>
      </c>
      <c r="E268" s="164" t="s">
        <v>64</v>
      </c>
      <c r="F268" s="164" t="s">
        <v>64</v>
      </c>
      <c r="G268" s="164" t="s">
        <v>64</v>
      </c>
    </row>
    <row r="269" spans="2:7" ht="12.75">
      <c r="B269" s="164">
        <v>7</v>
      </c>
      <c r="C269" s="164">
        <v>1</v>
      </c>
      <c r="D269" s="164" t="s">
        <v>64</v>
      </c>
      <c r="E269" s="164" t="s">
        <v>64</v>
      </c>
      <c r="F269" s="164" t="s">
        <v>64</v>
      </c>
      <c r="G269" s="164" t="s">
        <v>64</v>
      </c>
    </row>
    <row r="270" spans="2:7" ht="12.75">
      <c r="B270" s="164">
        <v>8</v>
      </c>
      <c r="C270" s="164">
        <v>1</v>
      </c>
      <c r="D270" s="164" t="s">
        <v>64</v>
      </c>
      <c r="E270" s="164" t="s">
        <v>64</v>
      </c>
      <c r="F270" s="164" t="s">
        <v>64</v>
      </c>
      <c r="G270" s="164" t="s">
        <v>64</v>
      </c>
    </row>
    <row r="271" spans="2:7" ht="12.75">
      <c r="B271" s="164">
        <v>9</v>
      </c>
      <c r="C271" s="164">
        <v>2</v>
      </c>
      <c r="D271" s="164" t="s">
        <v>94</v>
      </c>
      <c r="E271" s="164">
        <v>35</v>
      </c>
      <c r="F271" s="164">
        <v>6</v>
      </c>
      <c r="G271" s="164" t="s">
        <v>64</v>
      </c>
    </row>
    <row r="272" spans="2:7" ht="12.75">
      <c r="B272" s="164">
        <v>10</v>
      </c>
      <c r="C272" s="164">
        <v>2</v>
      </c>
      <c r="D272" s="164" t="s">
        <v>95</v>
      </c>
      <c r="E272" s="164">
        <v>40</v>
      </c>
      <c r="F272" s="164">
        <v>7</v>
      </c>
      <c r="G272" s="164" t="s">
        <v>64</v>
      </c>
    </row>
    <row r="273" spans="2:7" ht="12.75">
      <c r="B273" s="164">
        <v>11</v>
      </c>
      <c r="C273" s="164">
        <v>2</v>
      </c>
      <c r="D273" s="164" t="s">
        <v>95</v>
      </c>
      <c r="E273" s="164">
        <v>45</v>
      </c>
      <c r="F273" s="164">
        <v>7</v>
      </c>
      <c r="G273" s="164" t="s">
        <v>64</v>
      </c>
    </row>
    <row r="274" spans="2:7" ht="12.75">
      <c r="B274" s="164">
        <v>12</v>
      </c>
      <c r="C274" s="164">
        <v>3</v>
      </c>
      <c r="D274" s="164" t="s">
        <v>96</v>
      </c>
      <c r="E274" s="164">
        <v>50</v>
      </c>
      <c r="F274" s="164">
        <v>7</v>
      </c>
      <c r="G274" s="164" t="s">
        <v>64</v>
      </c>
    </row>
    <row r="275" spans="2:7" ht="12.75">
      <c r="B275" s="164">
        <v>13</v>
      </c>
      <c r="C275" s="164">
        <v>3</v>
      </c>
      <c r="D275" s="164" t="s">
        <v>96</v>
      </c>
      <c r="E275" s="164">
        <v>55</v>
      </c>
      <c r="F275" s="164">
        <v>9</v>
      </c>
      <c r="G275" s="164" t="s">
        <v>64</v>
      </c>
    </row>
    <row r="276" spans="2:7" ht="12.75">
      <c r="B276" s="164">
        <v>14</v>
      </c>
      <c r="C276" s="164">
        <v>4</v>
      </c>
      <c r="D276" s="164" t="s">
        <v>97</v>
      </c>
      <c r="E276" s="164">
        <v>60</v>
      </c>
      <c r="F276" s="164">
        <v>9</v>
      </c>
      <c r="G276" s="164" t="s">
        <v>64</v>
      </c>
    </row>
    <row r="277" spans="2:7" ht="12.75">
      <c r="B277" s="164">
        <v>15</v>
      </c>
      <c r="C277" s="164">
        <v>4</v>
      </c>
      <c r="D277" s="164" t="s">
        <v>97</v>
      </c>
      <c r="E277" s="164">
        <v>65</v>
      </c>
      <c r="F277" s="164">
        <v>11</v>
      </c>
      <c r="G277" s="164" t="s">
        <v>64</v>
      </c>
    </row>
    <row r="278" spans="2:8" ht="12.75">
      <c r="B278" s="164">
        <v>16</v>
      </c>
      <c r="C278" s="164">
        <v>5</v>
      </c>
      <c r="D278" s="164" t="s">
        <v>98</v>
      </c>
      <c r="E278" s="164">
        <v>70</v>
      </c>
      <c r="F278" s="164">
        <v>11</v>
      </c>
      <c r="G278" s="164" t="s">
        <v>64</v>
      </c>
      <c r="H278" s="164">
        <v>1</v>
      </c>
    </row>
    <row r="279" spans="2:8" ht="12.75">
      <c r="B279" s="164">
        <v>17</v>
      </c>
      <c r="C279" s="164">
        <v>6</v>
      </c>
      <c r="D279" s="164" t="s">
        <v>98</v>
      </c>
      <c r="E279" s="164">
        <v>75</v>
      </c>
      <c r="F279" s="164">
        <v>14</v>
      </c>
      <c r="G279" s="164" t="s">
        <v>64</v>
      </c>
      <c r="H279" s="164">
        <v>2</v>
      </c>
    </row>
    <row r="280" spans="2:8" ht="12.75">
      <c r="B280" s="164">
        <v>18</v>
      </c>
      <c r="C280" s="164">
        <v>7</v>
      </c>
      <c r="D280" s="164" t="s">
        <v>99</v>
      </c>
      <c r="E280" s="164">
        <v>85</v>
      </c>
      <c r="F280" s="164">
        <v>18</v>
      </c>
      <c r="G280" s="164" t="s">
        <v>64</v>
      </c>
      <c r="H280" s="164">
        <v>3</v>
      </c>
    </row>
    <row r="281" spans="2:8" ht="12.75">
      <c r="B281" s="164">
        <v>19</v>
      </c>
      <c r="C281" s="164">
        <v>8</v>
      </c>
      <c r="D281" s="164" t="s">
        <v>99</v>
      </c>
      <c r="E281" s="164">
        <v>95</v>
      </c>
      <c r="F281" s="164" t="s">
        <v>100</v>
      </c>
      <c r="G281" s="164">
        <v>1</v>
      </c>
      <c r="H281" s="164">
        <v>4</v>
      </c>
    </row>
    <row r="282" spans="2:8" ht="12.75">
      <c r="B282" s="164">
        <v>20</v>
      </c>
      <c r="C282" s="164">
        <v>9</v>
      </c>
      <c r="D282" s="164" t="s">
        <v>99</v>
      </c>
      <c r="E282" s="164">
        <v>96</v>
      </c>
      <c r="F282" s="164" t="s">
        <v>100</v>
      </c>
      <c r="G282" s="164">
        <v>2</v>
      </c>
      <c r="H282" s="164">
        <v>5</v>
      </c>
    </row>
    <row r="283" spans="2:8" ht="12.75">
      <c r="B283" s="164">
        <v>21</v>
      </c>
      <c r="C283" s="164">
        <v>10</v>
      </c>
      <c r="D283" s="164" t="s">
        <v>99</v>
      </c>
      <c r="E283" s="164">
        <v>97</v>
      </c>
      <c r="F283" s="164" t="s">
        <v>100</v>
      </c>
      <c r="G283" s="164">
        <v>3</v>
      </c>
      <c r="H283" s="164">
        <v>6</v>
      </c>
    </row>
    <row r="284" spans="2:8" ht="12.75">
      <c r="B284" s="164">
        <v>22</v>
      </c>
      <c r="C284" s="164">
        <v>11</v>
      </c>
      <c r="D284" s="164" t="s">
        <v>99</v>
      </c>
      <c r="E284" s="164">
        <v>98</v>
      </c>
      <c r="F284" s="164" t="s">
        <v>100</v>
      </c>
      <c r="G284" s="164">
        <v>4</v>
      </c>
      <c r="H284" s="164">
        <v>7</v>
      </c>
    </row>
    <row r="285" spans="2:8" ht="12.75">
      <c r="B285" s="164">
        <v>23</v>
      </c>
      <c r="C285" s="164">
        <v>12</v>
      </c>
      <c r="D285" s="164" t="s">
        <v>99</v>
      </c>
      <c r="E285" s="164">
        <v>99</v>
      </c>
      <c r="F285" s="164" t="s">
        <v>100</v>
      </c>
      <c r="G285" s="164">
        <v>5</v>
      </c>
      <c r="H285" s="164">
        <v>8</v>
      </c>
    </row>
    <row r="286" spans="2:8" ht="12.75">
      <c r="B286" s="164">
        <v>24</v>
      </c>
      <c r="C286" s="164">
        <v>13</v>
      </c>
      <c r="D286" s="164" t="s">
        <v>99</v>
      </c>
      <c r="E286" s="164">
        <v>100</v>
      </c>
      <c r="F286" s="164" t="s">
        <v>100</v>
      </c>
      <c r="G286" s="164">
        <v>6</v>
      </c>
      <c r="H286" s="164">
        <v>9</v>
      </c>
    </row>
    <row r="287" spans="2:8" ht="12.75">
      <c r="B287" s="164">
        <v>25</v>
      </c>
      <c r="C287" s="164">
        <v>20</v>
      </c>
      <c r="D287" s="164" t="s">
        <v>99</v>
      </c>
      <c r="E287" s="164">
        <v>100</v>
      </c>
      <c r="F287" s="164" t="s">
        <v>100</v>
      </c>
      <c r="G287" s="164">
        <v>7</v>
      </c>
      <c r="H287" s="164">
        <v>10</v>
      </c>
    </row>
    <row r="289" spans="1:7" ht="12.75">
      <c r="A289" s="164" t="s">
        <v>62</v>
      </c>
      <c r="B289" s="164" t="s">
        <v>101</v>
      </c>
      <c r="C289" s="164" t="s">
        <v>102</v>
      </c>
      <c r="D289" s="164" t="s">
        <v>103</v>
      </c>
      <c r="E289" s="164" t="s">
        <v>104</v>
      </c>
      <c r="F289" s="164" t="s">
        <v>105</v>
      </c>
      <c r="G289" s="164" t="s">
        <v>61</v>
      </c>
    </row>
    <row r="290" spans="2:6" ht="12.75">
      <c r="B290" s="164">
        <v>1</v>
      </c>
      <c r="C290" s="164">
        <v>-6</v>
      </c>
      <c r="D290" s="164" t="s">
        <v>64</v>
      </c>
      <c r="E290" s="164">
        <v>80</v>
      </c>
      <c r="F290" s="164" t="s">
        <v>64</v>
      </c>
    </row>
    <row r="291" spans="1:6" ht="12.75">
      <c r="A291" s="164" t="s">
        <v>106</v>
      </c>
      <c r="B291" s="164">
        <v>2</v>
      </c>
      <c r="C291" s="164">
        <v>-4</v>
      </c>
      <c r="D291" s="164" t="s">
        <v>64</v>
      </c>
      <c r="E291" s="164">
        <v>60</v>
      </c>
      <c r="F291" s="164" t="s">
        <v>64</v>
      </c>
    </row>
    <row r="292" spans="2:6" ht="12.75">
      <c r="B292" s="164">
        <v>3</v>
      </c>
      <c r="C292" s="164">
        <v>-3</v>
      </c>
      <c r="D292" s="164" t="s">
        <v>64</v>
      </c>
      <c r="E292" s="164">
        <v>50</v>
      </c>
      <c r="F292" s="164" t="s">
        <v>64</v>
      </c>
    </row>
    <row r="293" spans="2:6" ht="12.75">
      <c r="B293" s="164">
        <v>4</v>
      </c>
      <c r="C293" s="164">
        <v>-2</v>
      </c>
      <c r="D293" s="164" t="s">
        <v>64</v>
      </c>
      <c r="E293" s="164">
        <v>45</v>
      </c>
      <c r="F293" s="164" t="s">
        <v>64</v>
      </c>
    </row>
    <row r="294" spans="2:6" ht="12.75">
      <c r="B294" s="164">
        <v>5</v>
      </c>
      <c r="C294" s="164">
        <v>-1</v>
      </c>
      <c r="D294" s="164" t="s">
        <v>64</v>
      </c>
      <c r="E294" s="164">
        <v>40</v>
      </c>
      <c r="F294" s="164" t="s">
        <v>64</v>
      </c>
    </row>
    <row r="295" spans="2:6" ht="12.75">
      <c r="B295" s="164">
        <v>6</v>
      </c>
      <c r="C295" s="164">
        <v>-1</v>
      </c>
      <c r="D295" s="164" t="s">
        <v>64</v>
      </c>
      <c r="E295" s="164">
        <v>35</v>
      </c>
      <c r="F295" s="164" t="s">
        <v>64</v>
      </c>
    </row>
    <row r="296" spans="2:6" ht="12.75">
      <c r="B296" s="164">
        <v>7</v>
      </c>
      <c r="C296" s="164">
        <v>-1</v>
      </c>
      <c r="D296" s="164" t="s">
        <v>64</v>
      </c>
      <c r="E296" s="164">
        <v>30</v>
      </c>
      <c r="F296" s="164" t="s">
        <v>64</v>
      </c>
    </row>
    <row r="297" spans="2:6" ht="12.75">
      <c r="B297" s="164">
        <v>8</v>
      </c>
      <c r="C297" s="164">
        <v>0</v>
      </c>
      <c r="D297" s="164" t="s">
        <v>64</v>
      </c>
      <c r="E297" s="164">
        <v>25</v>
      </c>
      <c r="F297" s="164" t="s">
        <v>64</v>
      </c>
    </row>
    <row r="298" spans="2:6" ht="12.75">
      <c r="B298" s="164">
        <v>9</v>
      </c>
      <c r="C298" s="164">
        <v>0</v>
      </c>
      <c r="D298" s="164" t="s">
        <v>64</v>
      </c>
      <c r="E298" s="164">
        <v>20</v>
      </c>
      <c r="F298" s="164" t="s">
        <v>64</v>
      </c>
    </row>
    <row r="299" spans="2:6" ht="12.75">
      <c r="B299" s="164">
        <v>10</v>
      </c>
      <c r="C299" s="164">
        <v>0</v>
      </c>
      <c r="D299" s="164" t="s">
        <v>64</v>
      </c>
      <c r="E299" s="164">
        <v>15</v>
      </c>
      <c r="F299" s="164" t="s">
        <v>64</v>
      </c>
    </row>
    <row r="300" spans="2:6" ht="12.75">
      <c r="B300" s="164">
        <v>11</v>
      </c>
      <c r="C300" s="164">
        <v>0</v>
      </c>
      <c r="D300" s="164" t="s">
        <v>64</v>
      </c>
      <c r="E300" s="164">
        <v>10</v>
      </c>
      <c r="F300" s="164" t="s">
        <v>64</v>
      </c>
    </row>
    <row r="301" spans="2:6" ht="12.75">
      <c r="B301" s="164">
        <v>12</v>
      </c>
      <c r="C301" s="164">
        <v>0</v>
      </c>
      <c r="D301" s="164" t="s">
        <v>64</v>
      </c>
      <c r="E301" s="164">
        <v>5</v>
      </c>
      <c r="F301" s="164" t="s">
        <v>64</v>
      </c>
    </row>
    <row r="302" spans="2:6" ht="12.75">
      <c r="B302" s="164">
        <v>13</v>
      </c>
      <c r="C302" s="164">
        <v>0</v>
      </c>
      <c r="D302" s="164">
        <v>1</v>
      </c>
      <c r="E302" s="164">
        <v>0</v>
      </c>
      <c r="F302" s="164" t="s">
        <v>64</v>
      </c>
    </row>
    <row r="303" spans="2:6" ht="12.75">
      <c r="B303" s="164">
        <v>14</v>
      </c>
      <c r="C303" s="164">
        <v>0</v>
      </c>
      <c r="D303" s="164">
        <v>1</v>
      </c>
      <c r="E303" s="164">
        <v>0</v>
      </c>
      <c r="F303" s="164" t="s">
        <v>64</v>
      </c>
    </row>
    <row r="304" spans="2:7" ht="12.75">
      <c r="B304" s="164">
        <v>15</v>
      </c>
      <c r="C304" s="164">
        <v>1</v>
      </c>
      <c r="D304" s="164">
        <v>2</v>
      </c>
      <c r="E304" s="164">
        <v>0</v>
      </c>
      <c r="F304" s="164" t="s">
        <v>64</v>
      </c>
      <c r="G304" s="164">
        <v>20</v>
      </c>
    </row>
    <row r="305" spans="2:7" ht="12.75">
      <c r="B305" s="164">
        <v>16</v>
      </c>
      <c r="C305" s="164">
        <v>2</v>
      </c>
      <c r="D305" s="164">
        <v>2</v>
      </c>
      <c r="E305" s="164">
        <v>0</v>
      </c>
      <c r="F305" s="164" t="s">
        <v>64</v>
      </c>
      <c r="G305" s="164">
        <v>22</v>
      </c>
    </row>
    <row r="306" spans="2:7" ht="12.75">
      <c r="B306" s="164">
        <v>17</v>
      </c>
      <c r="C306" s="164">
        <v>3</v>
      </c>
      <c r="D306" s="164">
        <v>3</v>
      </c>
      <c r="E306" s="164">
        <v>0</v>
      </c>
      <c r="F306" s="164" t="s">
        <v>64</v>
      </c>
      <c r="G306" s="164">
        <v>24</v>
      </c>
    </row>
    <row r="307" spans="2:7" ht="12.75">
      <c r="B307" s="164">
        <v>18</v>
      </c>
      <c r="C307" s="164">
        <v>4</v>
      </c>
      <c r="D307" s="164">
        <v>4</v>
      </c>
      <c r="E307" s="164">
        <v>0</v>
      </c>
      <c r="F307" s="164" t="s">
        <v>64</v>
      </c>
      <c r="G307" s="164">
        <v>26</v>
      </c>
    </row>
    <row r="308" spans="2:7" ht="12.75">
      <c r="B308" s="164">
        <v>19</v>
      </c>
      <c r="C308" s="164">
        <v>4</v>
      </c>
      <c r="D308" s="164">
        <v>1.4</v>
      </c>
      <c r="E308" s="164">
        <v>0</v>
      </c>
      <c r="F308" s="164">
        <v>1</v>
      </c>
      <c r="G308" s="164">
        <v>28</v>
      </c>
    </row>
    <row r="309" spans="2:7" ht="12.75">
      <c r="B309" s="164">
        <v>20</v>
      </c>
      <c r="C309" s="164">
        <v>4</v>
      </c>
      <c r="D309" s="164">
        <v>2.4</v>
      </c>
      <c r="E309" s="164">
        <v>0</v>
      </c>
      <c r="F309" s="164">
        <v>2</v>
      </c>
      <c r="G309" s="164">
        <v>30</v>
      </c>
    </row>
    <row r="310" spans="2:7" ht="12.75">
      <c r="B310" s="164">
        <v>21</v>
      </c>
      <c r="C310" s="164">
        <v>4</v>
      </c>
      <c r="D310" s="164">
        <v>3.5</v>
      </c>
      <c r="E310" s="164">
        <v>0</v>
      </c>
      <c r="F310" s="164">
        <v>3</v>
      </c>
      <c r="G310" s="164">
        <v>32</v>
      </c>
    </row>
    <row r="311" spans="2:7" ht="12.75">
      <c r="B311" s="164">
        <v>22</v>
      </c>
      <c r="C311" s="164">
        <v>4</v>
      </c>
      <c r="D311" s="164">
        <v>4.5</v>
      </c>
      <c r="E311" s="164">
        <v>0</v>
      </c>
      <c r="F311" s="164">
        <v>4</v>
      </c>
      <c r="G311" s="164">
        <v>34</v>
      </c>
    </row>
    <row r="312" spans="2:7" ht="12.75">
      <c r="B312" s="164">
        <v>23</v>
      </c>
      <c r="C312" s="164">
        <v>4</v>
      </c>
      <c r="D312" s="164">
        <v>5.5</v>
      </c>
      <c r="E312" s="164">
        <v>0</v>
      </c>
      <c r="F312" s="164">
        <v>5</v>
      </c>
      <c r="G312" s="164">
        <v>36</v>
      </c>
    </row>
    <row r="313" spans="2:7" ht="12.75">
      <c r="B313" s="164">
        <v>24</v>
      </c>
      <c r="C313" s="164">
        <v>4</v>
      </c>
      <c r="D313" s="164">
        <v>6.6</v>
      </c>
      <c r="E313" s="164">
        <v>0</v>
      </c>
      <c r="F313" s="164">
        <v>6</v>
      </c>
      <c r="G313" s="164">
        <v>38</v>
      </c>
    </row>
    <row r="314" spans="2:7" ht="12.75">
      <c r="B314" s="164">
        <v>25</v>
      </c>
      <c r="C314" s="164">
        <v>4</v>
      </c>
      <c r="D314" s="164">
        <v>7.7</v>
      </c>
      <c r="E314" s="164">
        <v>0</v>
      </c>
      <c r="F314" s="164">
        <v>7</v>
      </c>
      <c r="G314" s="164">
        <v>40</v>
      </c>
    </row>
    <row r="315" ht="12.75">
      <c r="E315" s="164" t="s">
        <v>106</v>
      </c>
    </row>
    <row r="316" spans="1:5" ht="12.75">
      <c r="A316" s="164" t="s">
        <v>62</v>
      </c>
      <c r="B316" s="164" t="s">
        <v>107</v>
      </c>
      <c r="C316" s="164" t="s">
        <v>108</v>
      </c>
      <c r="D316" s="164" t="s">
        <v>109</v>
      </c>
      <c r="E316" s="164" t="s">
        <v>110</v>
      </c>
    </row>
    <row r="317" spans="2:5" ht="12.75">
      <c r="B317" s="164">
        <v>1</v>
      </c>
      <c r="C317" s="164">
        <v>0</v>
      </c>
      <c r="D317" s="164">
        <v>-8</v>
      </c>
      <c r="E317" s="164">
        <v>-7</v>
      </c>
    </row>
    <row r="318" spans="2:5" ht="12.75">
      <c r="B318" s="164">
        <v>2</v>
      </c>
      <c r="C318" s="164">
        <v>1</v>
      </c>
      <c r="D318" s="164">
        <v>-7</v>
      </c>
      <c r="E318" s="164">
        <v>-6</v>
      </c>
    </row>
    <row r="319" spans="2:5" ht="12.75">
      <c r="B319" s="164">
        <v>3</v>
      </c>
      <c r="C319" s="164">
        <v>1</v>
      </c>
      <c r="D319" s="164">
        <v>-6</v>
      </c>
      <c r="E319" s="164">
        <v>-5</v>
      </c>
    </row>
    <row r="320" spans="2:5" ht="12.75">
      <c r="B320" s="164">
        <v>4</v>
      </c>
      <c r="C320" s="164">
        <v>1</v>
      </c>
      <c r="D320" s="164">
        <v>-5</v>
      </c>
      <c r="E320" s="164">
        <v>-4</v>
      </c>
    </row>
    <row r="321" spans="2:5" ht="12.75">
      <c r="B321" s="164">
        <v>5</v>
      </c>
      <c r="C321" s="164">
        <v>2</v>
      </c>
      <c r="D321" s="164">
        <v>-4</v>
      </c>
      <c r="E321" s="164">
        <v>-3</v>
      </c>
    </row>
    <row r="322" spans="2:5" ht="12.75">
      <c r="B322" s="164">
        <v>6</v>
      </c>
      <c r="C322" s="164">
        <v>2</v>
      </c>
      <c r="D322" s="164">
        <v>-3</v>
      </c>
      <c r="E322" s="164">
        <v>-2</v>
      </c>
    </row>
    <row r="323" spans="2:5" ht="12.75">
      <c r="B323" s="164">
        <v>7</v>
      </c>
      <c r="C323" s="164">
        <v>3</v>
      </c>
      <c r="D323" s="164">
        <v>-2</v>
      </c>
      <c r="E323" s="164">
        <v>-1</v>
      </c>
    </row>
    <row r="324" spans="2:5" ht="12.75">
      <c r="B324" s="164">
        <v>8</v>
      </c>
      <c r="C324" s="164">
        <v>3</v>
      </c>
      <c r="D324" s="164">
        <v>-1</v>
      </c>
      <c r="E324" s="164">
        <v>0</v>
      </c>
    </row>
    <row r="325" spans="2:5" ht="12.75">
      <c r="B325" s="164">
        <v>9</v>
      </c>
      <c r="C325" s="164">
        <v>4</v>
      </c>
      <c r="D325" s="164">
        <v>0</v>
      </c>
      <c r="E325" s="164">
        <v>0</v>
      </c>
    </row>
    <row r="326" spans="2:5" ht="12.75">
      <c r="B326" s="164">
        <v>10</v>
      </c>
      <c r="C326" s="164">
        <v>4</v>
      </c>
      <c r="D326" s="164">
        <v>0</v>
      </c>
      <c r="E326" s="164">
        <v>0</v>
      </c>
    </row>
    <row r="327" spans="2:5" ht="12.75">
      <c r="B327" s="164">
        <v>11</v>
      </c>
      <c r="C327" s="164">
        <v>4</v>
      </c>
      <c r="D327" s="164">
        <v>0</v>
      </c>
      <c r="E327" s="164">
        <v>0</v>
      </c>
    </row>
    <row r="328" spans="2:5" ht="12.75">
      <c r="B328" s="164">
        <v>12</v>
      </c>
      <c r="C328" s="164">
        <v>5</v>
      </c>
      <c r="D328" s="164">
        <v>0</v>
      </c>
      <c r="E328" s="164">
        <v>0</v>
      </c>
    </row>
    <row r="329" spans="2:5" ht="12.75">
      <c r="B329" s="164">
        <v>13</v>
      </c>
      <c r="C329" s="164">
        <v>5</v>
      </c>
      <c r="D329" s="164">
        <v>0</v>
      </c>
      <c r="E329" s="164">
        <v>1</v>
      </c>
    </row>
    <row r="330" spans="2:5" ht="12.75">
      <c r="B330" s="164">
        <v>14</v>
      </c>
      <c r="C330" s="164">
        <v>6</v>
      </c>
      <c r="D330" s="164">
        <v>1</v>
      </c>
      <c r="E330" s="164">
        <v>2</v>
      </c>
    </row>
    <row r="331" spans="2:5" ht="12.75">
      <c r="B331" s="164">
        <v>15</v>
      </c>
      <c r="C331" s="164">
        <v>7</v>
      </c>
      <c r="D331" s="164">
        <v>3</v>
      </c>
      <c r="E331" s="164">
        <v>3</v>
      </c>
    </row>
    <row r="332" spans="2:5" ht="12.75">
      <c r="B332" s="164">
        <v>16</v>
      </c>
      <c r="C332" s="164">
        <v>8</v>
      </c>
      <c r="D332" s="164">
        <v>4</v>
      </c>
      <c r="E332" s="164">
        <v>5</v>
      </c>
    </row>
    <row r="333" spans="2:5" ht="12.75">
      <c r="B333" s="164">
        <v>17</v>
      </c>
      <c r="C333" s="164">
        <v>10</v>
      </c>
      <c r="D333" s="164">
        <v>6</v>
      </c>
      <c r="E333" s="164">
        <v>6</v>
      </c>
    </row>
    <row r="334" spans="2:5" ht="12.75">
      <c r="B334" s="164">
        <v>18</v>
      </c>
      <c r="C334" s="164">
        <v>15</v>
      </c>
      <c r="D334" s="164">
        <v>8</v>
      </c>
      <c r="E334" s="164">
        <v>7</v>
      </c>
    </row>
    <row r="335" spans="2:5" ht="12.75">
      <c r="B335" s="164">
        <v>19</v>
      </c>
      <c r="C335" s="164">
        <v>20</v>
      </c>
      <c r="D335" s="164">
        <v>10</v>
      </c>
      <c r="E335" s="164">
        <v>8</v>
      </c>
    </row>
    <row r="336" spans="2:5" ht="12.75">
      <c r="B336" s="164">
        <v>20</v>
      </c>
      <c r="C336" s="164">
        <v>25</v>
      </c>
      <c r="D336" s="164">
        <v>12</v>
      </c>
      <c r="E336" s="164">
        <v>9</v>
      </c>
    </row>
    <row r="337" spans="2:5" ht="12.75">
      <c r="B337" s="164">
        <v>21</v>
      </c>
      <c r="C337" s="164">
        <v>30</v>
      </c>
      <c r="D337" s="164">
        <v>14</v>
      </c>
      <c r="E337" s="164">
        <v>10</v>
      </c>
    </row>
    <row r="338" spans="2:5" ht="12.75">
      <c r="B338" s="164">
        <v>22</v>
      </c>
      <c r="C338" s="164">
        <v>35</v>
      </c>
      <c r="D338" s="164">
        <v>16</v>
      </c>
      <c r="E338" s="164">
        <v>11</v>
      </c>
    </row>
    <row r="339" spans="2:5" ht="12.75">
      <c r="B339" s="164">
        <v>23</v>
      </c>
      <c r="C339" s="164">
        <v>40</v>
      </c>
      <c r="D339" s="164">
        <v>18</v>
      </c>
      <c r="E339" s="164">
        <v>12</v>
      </c>
    </row>
    <row r="340" spans="2:5" ht="12.75">
      <c r="B340" s="164">
        <v>24</v>
      </c>
      <c r="C340" s="164">
        <v>45</v>
      </c>
      <c r="D340" s="164">
        <v>20</v>
      </c>
      <c r="E340" s="164">
        <v>13</v>
      </c>
    </row>
    <row r="341" spans="2:5" ht="12.75">
      <c r="B341" s="164">
        <v>25</v>
      </c>
      <c r="C341" s="164">
        <v>50</v>
      </c>
      <c r="D341" s="164">
        <v>20</v>
      </c>
      <c r="E341" s="164">
        <v>14</v>
      </c>
    </row>
    <row r="343" spans="1:2" ht="12.75">
      <c r="A343" s="164" t="s">
        <v>111</v>
      </c>
      <c r="B343" s="164">
        <f>VLOOKUP(Eingabe!$E$21,Daten!$B$290:$G$314,6)</f>
        <v>0</v>
      </c>
    </row>
    <row r="344" ht="12.75">
      <c r="B344" s="164">
        <f>VLOOKUP(Eingabe!$E$19,Daten!C122:J146,8)</f>
        <v>5</v>
      </c>
    </row>
    <row r="345" ht="12.75">
      <c r="B345" s="164">
        <f>VLOOKUP(Eingabe!$E$20,B263:H287,7)</f>
        <v>0</v>
      </c>
    </row>
    <row r="347" spans="1:2" ht="12.75">
      <c r="A347" s="164" t="s">
        <v>112</v>
      </c>
      <c r="B347" s="164">
        <f>IF(Eingabe!$C$9=16,IF(Eingabe!#REF!&lt;7,6,IF(Eingabe!#REF!&lt;8,5,IF(Eingabe!#REF!&lt;10,4,3))),10)</f>
        <v>10</v>
      </c>
    </row>
    <row r="348" spans="4:7" ht="12.75">
      <c r="D348" s="164" t="s">
        <v>113</v>
      </c>
      <c r="E348" s="164" t="s">
        <v>270</v>
      </c>
      <c r="F348" s="164" t="s">
        <v>271</v>
      </c>
      <c r="G348" s="164" t="s">
        <v>272</v>
      </c>
    </row>
    <row r="349" spans="1:7" ht="12.75">
      <c r="A349" s="164" t="s">
        <v>114</v>
      </c>
      <c r="B349" s="164">
        <v>1</v>
      </c>
      <c r="C349" s="164" t="s">
        <v>261</v>
      </c>
      <c r="D349" s="164">
        <v>-2</v>
      </c>
      <c r="E349" s="164">
        <v>0</v>
      </c>
      <c r="F349" s="164">
        <v>2</v>
      </c>
      <c r="G349" s="164">
        <v>0</v>
      </c>
    </row>
    <row r="350" spans="2:7" ht="12.75">
      <c r="B350" s="164">
        <v>2</v>
      </c>
      <c r="C350" s="164" t="s">
        <v>282</v>
      </c>
      <c r="D350" s="164">
        <v>-3</v>
      </c>
      <c r="E350" s="164">
        <v>-2</v>
      </c>
      <c r="F350" s="164">
        <v>-1</v>
      </c>
      <c r="G350" s="164">
        <v>0</v>
      </c>
    </row>
    <row r="351" spans="2:7" ht="12.75">
      <c r="B351" s="164">
        <v>3</v>
      </c>
      <c r="C351" s="164" t="s">
        <v>262</v>
      </c>
      <c r="D351" s="164">
        <v>-3</v>
      </c>
      <c r="E351" s="164">
        <v>-1</v>
      </c>
      <c r="F351" s="164">
        <v>-1</v>
      </c>
      <c r="G351" s="164">
        <v>0</v>
      </c>
    </row>
    <row r="352" spans="2:7" ht="12.75">
      <c r="B352" s="164">
        <v>4</v>
      </c>
      <c r="C352" s="164" t="s">
        <v>263</v>
      </c>
      <c r="D352" s="164">
        <v>-4</v>
      </c>
      <c r="E352" s="164">
        <v>-1</v>
      </c>
      <c r="F352" s="164">
        <v>-1</v>
      </c>
      <c r="G352" s="164">
        <v>0</v>
      </c>
    </row>
    <row r="353" spans="2:7" ht="12.75">
      <c r="B353" s="164">
        <v>5</v>
      </c>
      <c r="C353" s="164" t="s">
        <v>264</v>
      </c>
      <c r="D353" s="164">
        <v>-4</v>
      </c>
      <c r="E353" s="164">
        <v>0</v>
      </c>
      <c r="F353" s="164">
        <v>-1</v>
      </c>
      <c r="G353" s="164">
        <v>0</v>
      </c>
    </row>
    <row r="354" spans="2:7" ht="12.75">
      <c r="B354" s="164">
        <v>6</v>
      </c>
      <c r="C354" s="164" t="s">
        <v>115</v>
      </c>
      <c r="D354" s="164">
        <v>-4</v>
      </c>
      <c r="E354" s="164">
        <v>0</v>
      </c>
      <c r="F354" s="164">
        <v>2</v>
      </c>
      <c r="G354" s="164">
        <v>0</v>
      </c>
    </row>
    <row r="355" spans="2:7" ht="12.75">
      <c r="B355" s="164">
        <v>7</v>
      </c>
      <c r="C355" s="164" t="s">
        <v>265</v>
      </c>
      <c r="D355" s="164">
        <v>-5</v>
      </c>
      <c r="E355" s="164">
        <v>-2</v>
      </c>
      <c r="F355" s="164">
        <v>0</v>
      </c>
      <c r="G355" s="164">
        <v>2</v>
      </c>
    </row>
    <row r="356" spans="2:7" ht="12.75">
      <c r="B356" s="164">
        <v>8</v>
      </c>
      <c r="C356" s="164" t="s">
        <v>266</v>
      </c>
      <c r="D356" s="164">
        <v>-6</v>
      </c>
      <c r="E356" s="164">
        <v>0</v>
      </c>
      <c r="F356" s="164">
        <v>-1</v>
      </c>
      <c r="G356" s="164">
        <v>-2</v>
      </c>
    </row>
    <row r="357" spans="2:7" ht="12.75">
      <c r="B357" s="164">
        <v>9</v>
      </c>
      <c r="C357" s="164" t="s">
        <v>267</v>
      </c>
      <c r="D357" s="164">
        <v>-7</v>
      </c>
      <c r="E357" s="164">
        <v>-3</v>
      </c>
      <c r="F357" s="164">
        <v>0</v>
      </c>
      <c r="G357" s="164">
        <v>0</v>
      </c>
    </row>
    <row r="358" spans="2:7" ht="12.75">
      <c r="B358" s="164">
        <v>10</v>
      </c>
      <c r="C358" s="164" t="s">
        <v>268</v>
      </c>
      <c r="D358" s="164">
        <v>-8</v>
      </c>
      <c r="E358" s="164">
        <v>-3</v>
      </c>
      <c r="F358" s="164">
        <v>-1</v>
      </c>
      <c r="G358" s="164">
        <v>0</v>
      </c>
    </row>
    <row r="359" spans="2:7" ht="12.75">
      <c r="B359" s="164">
        <v>11</v>
      </c>
      <c r="C359" s="164" t="s">
        <v>269</v>
      </c>
      <c r="D359" s="164">
        <v>-9</v>
      </c>
      <c r="E359" s="164">
        <v>-4</v>
      </c>
      <c r="F359" s="164">
        <v>-3</v>
      </c>
      <c r="G359" s="164">
        <v>0</v>
      </c>
    </row>
    <row r="360" spans="2:7" ht="12.75">
      <c r="B360" s="164">
        <v>12</v>
      </c>
      <c r="C360" s="164" t="s">
        <v>324</v>
      </c>
      <c r="D360" s="164">
        <v>0</v>
      </c>
      <c r="E360" s="164">
        <v>0</v>
      </c>
      <c r="F360" s="164">
        <v>0</v>
      </c>
      <c r="G360" s="164">
        <v>0</v>
      </c>
    </row>
    <row r="361" spans="1:11" ht="12.75">
      <c r="A361" s="164">
        <v>0</v>
      </c>
      <c r="D361" s="164" t="s">
        <v>0</v>
      </c>
      <c r="E361" s="164" t="s">
        <v>1</v>
      </c>
      <c r="F361" s="164" t="s">
        <v>2</v>
      </c>
      <c r="G361" s="164" t="s">
        <v>3</v>
      </c>
      <c r="H361" s="164" t="s">
        <v>4</v>
      </c>
      <c r="I361" s="164" t="s">
        <v>5</v>
      </c>
      <c r="J361" s="164" t="s">
        <v>6</v>
      </c>
      <c r="K361" s="164" t="s">
        <v>7</v>
      </c>
    </row>
    <row r="362" spans="1:11" ht="12.75">
      <c r="A362" s="164">
        <v>1</v>
      </c>
      <c r="B362" s="164" t="s">
        <v>8</v>
      </c>
      <c r="C362" s="164">
        <v>1</v>
      </c>
      <c r="D362" s="164">
        <v>1</v>
      </c>
      <c r="E362" s="164">
        <v>1</v>
      </c>
      <c r="F362" s="164">
        <v>1</v>
      </c>
      <c r="G362" s="164">
        <v>9</v>
      </c>
      <c r="H362" s="164">
        <v>1</v>
      </c>
      <c r="I362" s="164">
        <v>1</v>
      </c>
      <c r="J362" s="164">
        <v>4</v>
      </c>
      <c r="K362" s="164">
        <v>1</v>
      </c>
    </row>
    <row r="363" spans="1:11" ht="12.75">
      <c r="A363" s="164">
        <v>2</v>
      </c>
      <c r="B363" s="164" t="s">
        <v>9</v>
      </c>
      <c r="C363" s="164">
        <v>2</v>
      </c>
      <c r="D363" s="164">
        <v>1</v>
      </c>
      <c r="E363" s="164">
        <v>1</v>
      </c>
      <c r="F363" s="164">
        <v>1</v>
      </c>
      <c r="G363" s="164">
        <v>1</v>
      </c>
      <c r="H363" s="164">
        <v>9</v>
      </c>
      <c r="I363" s="164">
        <v>1</v>
      </c>
      <c r="J363" s="164">
        <v>8</v>
      </c>
      <c r="K363" s="164">
        <v>2</v>
      </c>
    </row>
    <row r="364" spans="1:11" ht="12.75">
      <c r="A364" s="164">
        <v>3</v>
      </c>
      <c r="B364" s="164" t="s">
        <v>10</v>
      </c>
      <c r="C364" s="164">
        <v>3</v>
      </c>
      <c r="D364" s="164">
        <v>1</v>
      </c>
      <c r="E364" s="164">
        <v>1</v>
      </c>
      <c r="F364" s="164">
        <v>11</v>
      </c>
      <c r="G364" s="164">
        <v>12</v>
      </c>
      <c r="H364" s="164">
        <v>15</v>
      </c>
      <c r="I364" s="164">
        <v>1</v>
      </c>
      <c r="J364" s="164">
        <v>6</v>
      </c>
      <c r="K364" s="164">
        <v>2</v>
      </c>
    </row>
    <row r="365" spans="1:11" ht="12.75">
      <c r="A365" s="164">
        <v>4</v>
      </c>
      <c r="B365" s="164" t="s">
        <v>11</v>
      </c>
      <c r="C365" s="164">
        <v>4</v>
      </c>
      <c r="D365" s="164">
        <v>1</v>
      </c>
      <c r="E365" s="164">
        <v>9</v>
      </c>
      <c r="F365" s="164">
        <v>1</v>
      </c>
      <c r="G365" s="164">
        <v>1</v>
      </c>
      <c r="H365" s="164">
        <v>1</v>
      </c>
      <c r="I365" s="164">
        <v>1</v>
      </c>
      <c r="J365" s="164">
        <v>6</v>
      </c>
      <c r="K365" s="164">
        <v>2</v>
      </c>
    </row>
    <row r="366" spans="1:11" ht="12.75">
      <c r="A366" s="164">
        <v>5</v>
      </c>
      <c r="B366" s="164" t="s">
        <v>12</v>
      </c>
      <c r="C366" s="164">
        <v>5</v>
      </c>
      <c r="D366" s="164">
        <v>9</v>
      </c>
      <c r="E366" s="164">
        <v>1</v>
      </c>
      <c r="F366" s="164">
        <v>1</v>
      </c>
      <c r="G366" s="164">
        <v>1</v>
      </c>
      <c r="H366" s="164">
        <v>1</v>
      </c>
      <c r="I366" s="164">
        <v>1</v>
      </c>
      <c r="J366" s="164">
        <v>10</v>
      </c>
      <c r="K366" s="164">
        <v>3</v>
      </c>
    </row>
    <row r="368" ht="12.75">
      <c r="B368" s="3"/>
    </row>
    <row r="369" spans="1:4" ht="12.75">
      <c r="A369" s="164" t="s">
        <v>116</v>
      </c>
      <c r="B369" s="3">
        <f>VLOOKUP(Eingabe!$C$9,Daten!$C$2:$I$17,2)</f>
        <v>14</v>
      </c>
      <c r="C369" s="3">
        <f>IF(Eingabe!$D$9&gt;1,VLOOKUP(Eingabe!$D$9-1,Daten!$C$2:$I$17,2),1)</f>
        <v>1</v>
      </c>
      <c r="D369" s="3">
        <f aca="true" t="shared" si="0" ref="D369:D374">IF(B369&gt;=C369,B369,C369)</f>
        <v>14</v>
      </c>
    </row>
    <row r="370" spans="1:4" ht="12.75">
      <c r="A370" s="164" t="s">
        <v>117</v>
      </c>
      <c r="B370" s="3">
        <f>VLOOKUP(Eingabe!$C$9,Daten!$C$2:$I$17,3)</f>
        <v>1</v>
      </c>
      <c r="C370" s="3">
        <f>IF(Eingabe!D9&gt;1,VLOOKUP(Eingabe!$D$9-1,Daten!$C$2:$I$17,3),1)</f>
        <v>1</v>
      </c>
      <c r="D370" s="3">
        <f t="shared" si="0"/>
        <v>1</v>
      </c>
    </row>
    <row r="371" spans="2:4" ht="12.75">
      <c r="B371" s="3">
        <f>VLOOKUP(Eingabe!$C$9,Daten!$C$2:$I$17,4)</f>
        <v>17</v>
      </c>
      <c r="C371" s="3">
        <f>IF(Eingabe!D9&gt;1,VLOOKUP(Eingabe!$D$9-1,Daten!$C$2:$I$17,4),1)</f>
        <v>1</v>
      </c>
      <c r="D371" s="3">
        <f t="shared" si="0"/>
        <v>17</v>
      </c>
    </row>
    <row r="372" spans="2:4" ht="12.75">
      <c r="B372" s="3">
        <f>VLOOKUP(Eingabe!$C$9,Daten!$C$2:$I$17,5)</f>
        <v>1</v>
      </c>
      <c r="C372" s="3">
        <f>IF(Eingabe!D9&gt;1,VLOOKUP(Eingabe!$D$9-1,Daten!$C$2:$I$17,5),1)</f>
        <v>1</v>
      </c>
      <c r="D372" s="3">
        <f t="shared" si="0"/>
        <v>1</v>
      </c>
    </row>
    <row r="373" spans="2:4" ht="12.75">
      <c r="B373" s="3">
        <f>VLOOKUP(Eingabe!$C$9,Daten!$C$2:$I$17,6)</f>
        <v>1</v>
      </c>
      <c r="C373" s="3">
        <f>IF(Eingabe!D9&gt;1,VLOOKUP(Eingabe!$D$9-1,Daten!$C$2:$I$17,6),1)</f>
        <v>1</v>
      </c>
      <c r="D373" s="3">
        <f t="shared" si="0"/>
        <v>1</v>
      </c>
    </row>
    <row r="374" spans="2:4" ht="12.75">
      <c r="B374" s="3">
        <f>VLOOKUP(Eingabe!$C$9,Daten!$C$3:$I$19,7)</f>
        <v>1</v>
      </c>
      <c r="C374" s="3">
        <f>IF(Eingabe!D9&gt;1,VLOOKUP(Eingabe!$D$9-1,Daten!$C$3:$I$19,7),1)</f>
        <v>1</v>
      </c>
      <c r="D374" s="3">
        <f t="shared" si="0"/>
        <v>1</v>
      </c>
    </row>
    <row r="376" spans="3:4" ht="12.75">
      <c r="C376" s="164" t="s">
        <v>87</v>
      </c>
      <c r="D376" s="164" t="s">
        <v>281</v>
      </c>
    </row>
    <row r="377" spans="1:3" ht="12.75">
      <c r="A377" s="164">
        <v>1</v>
      </c>
      <c r="B377" s="164" t="s">
        <v>280</v>
      </c>
      <c r="C377" s="164">
        <v>0</v>
      </c>
    </row>
    <row r="378" spans="1:3" ht="12.75">
      <c r="A378" s="164">
        <v>2</v>
      </c>
      <c r="B378" s="164" t="s">
        <v>276</v>
      </c>
      <c r="C378" s="164">
        <v>-1</v>
      </c>
    </row>
    <row r="379" spans="1:3" ht="12.75">
      <c r="A379" s="164">
        <v>3</v>
      </c>
      <c r="B379" s="164" t="s">
        <v>279</v>
      </c>
      <c r="C379" s="164">
        <v>-1</v>
      </c>
    </row>
    <row r="380" spans="1:4" ht="12.75">
      <c r="A380" s="164">
        <v>4</v>
      </c>
      <c r="B380" s="164" t="s">
        <v>277</v>
      </c>
      <c r="C380" s="164">
        <v>-3</v>
      </c>
      <c r="D380" s="164">
        <v>-2</v>
      </c>
    </row>
    <row r="381" spans="1:4" ht="12.75">
      <c r="A381" s="164">
        <v>5</v>
      </c>
      <c r="B381" s="164" t="s">
        <v>278</v>
      </c>
      <c r="C381" s="164">
        <v>-2</v>
      </c>
      <c r="D381" s="164">
        <v>-3</v>
      </c>
    </row>
    <row r="386" ht="12.75">
      <c r="A386" s="164" t="s">
        <v>283</v>
      </c>
    </row>
    <row r="387" spans="1:2" ht="12.75">
      <c r="A387" s="164">
        <v>0</v>
      </c>
      <c r="B387" s="164" t="s">
        <v>294</v>
      </c>
    </row>
    <row r="388" spans="1:6" ht="12.75">
      <c r="A388" s="164">
        <v>1</v>
      </c>
      <c r="B388" s="164" t="s">
        <v>284</v>
      </c>
      <c r="C388" s="164" t="s">
        <v>307</v>
      </c>
      <c r="D388" s="164" t="s">
        <v>308</v>
      </c>
      <c r="E388" s="164" t="s">
        <v>270</v>
      </c>
      <c r="F388" s="164">
        <v>7</v>
      </c>
    </row>
    <row r="389" spans="1:6" ht="12.75">
      <c r="A389" s="164">
        <v>2</v>
      </c>
      <c r="B389" s="164" t="s">
        <v>386</v>
      </c>
      <c r="C389" s="164" t="s">
        <v>387</v>
      </c>
      <c r="D389" s="164" t="s">
        <v>388</v>
      </c>
      <c r="E389" s="164" t="s">
        <v>271</v>
      </c>
      <c r="F389" s="164">
        <v>5</v>
      </c>
    </row>
    <row r="390" spans="1:6" ht="12.75">
      <c r="A390" s="164">
        <v>3</v>
      </c>
      <c r="B390" s="164" t="s">
        <v>389</v>
      </c>
      <c r="C390" s="164" t="s">
        <v>390</v>
      </c>
      <c r="D390" s="164" t="s">
        <v>390</v>
      </c>
      <c r="E390" s="164" t="s">
        <v>271</v>
      </c>
      <c r="F390" s="164">
        <v>10</v>
      </c>
    </row>
    <row r="391" spans="1:6" ht="12.75">
      <c r="A391" s="164">
        <v>4</v>
      </c>
      <c r="B391" s="164" t="s">
        <v>391</v>
      </c>
      <c r="C391" s="164" t="s">
        <v>392</v>
      </c>
      <c r="D391" s="164" t="s">
        <v>393</v>
      </c>
      <c r="E391" s="164" t="s">
        <v>271</v>
      </c>
      <c r="F391" s="164">
        <v>10</v>
      </c>
    </row>
    <row r="392" spans="1:6" ht="12.75">
      <c r="A392" s="164">
        <v>5</v>
      </c>
      <c r="B392" s="164" t="s">
        <v>394</v>
      </c>
      <c r="C392" s="164" t="s">
        <v>311</v>
      </c>
      <c r="D392" s="164" t="s">
        <v>311</v>
      </c>
      <c r="E392" s="164" t="s">
        <v>272</v>
      </c>
      <c r="F392" s="164">
        <v>4</v>
      </c>
    </row>
    <row r="393" spans="1:6" ht="12.75">
      <c r="A393" s="164">
        <v>6</v>
      </c>
      <c r="B393" s="164" t="s">
        <v>395</v>
      </c>
      <c r="C393" s="164" t="s">
        <v>387</v>
      </c>
      <c r="D393" s="164" t="s">
        <v>388</v>
      </c>
      <c r="E393" s="164" t="s">
        <v>271</v>
      </c>
      <c r="F393" s="164">
        <v>5</v>
      </c>
    </row>
    <row r="394" spans="1:6" ht="12.75">
      <c r="A394" s="164">
        <v>7</v>
      </c>
      <c r="B394" s="164" t="s">
        <v>396</v>
      </c>
      <c r="C394" s="164" t="s">
        <v>311</v>
      </c>
      <c r="D394" s="164" t="s">
        <v>311</v>
      </c>
      <c r="E394" s="164" t="s">
        <v>271</v>
      </c>
      <c r="F394" s="164">
        <v>6</v>
      </c>
    </row>
    <row r="395" spans="1:6" ht="12.75">
      <c r="A395" s="164">
        <v>8</v>
      </c>
      <c r="B395" s="164" t="s">
        <v>397</v>
      </c>
      <c r="C395" s="164" t="s">
        <v>400</v>
      </c>
      <c r="D395" s="164" t="s">
        <v>400</v>
      </c>
      <c r="E395" s="164" t="s">
        <v>271</v>
      </c>
      <c r="F395" s="164">
        <v>7</v>
      </c>
    </row>
    <row r="396" spans="1:6" ht="12.75">
      <c r="A396" s="164">
        <v>9</v>
      </c>
      <c r="B396" s="164" t="s">
        <v>398</v>
      </c>
      <c r="C396" s="164" t="s">
        <v>311</v>
      </c>
      <c r="D396" s="164" t="s">
        <v>311</v>
      </c>
      <c r="E396" s="164" t="s">
        <v>271</v>
      </c>
      <c r="F396" s="164">
        <v>7</v>
      </c>
    </row>
    <row r="397" spans="1:6" ht="12.75">
      <c r="A397" s="164">
        <v>10</v>
      </c>
      <c r="B397" s="164" t="s">
        <v>399</v>
      </c>
      <c r="C397" s="164" t="s">
        <v>400</v>
      </c>
      <c r="D397" s="164" t="s">
        <v>400</v>
      </c>
      <c r="E397" s="164" t="s">
        <v>271</v>
      </c>
      <c r="F397" s="164">
        <v>8</v>
      </c>
    </row>
    <row r="398" spans="1:6" ht="12.75">
      <c r="A398" s="164">
        <v>11</v>
      </c>
      <c r="B398" s="164" t="s">
        <v>401</v>
      </c>
      <c r="C398" s="164" t="s">
        <v>390</v>
      </c>
      <c r="D398" s="164" t="s">
        <v>387</v>
      </c>
      <c r="E398" s="164" t="s">
        <v>271</v>
      </c>
      <c r="F398" s="164">
        <v>2</v>
      </c>
    </row>
    <row r="399" spans="1:6" ht="12.75">
      <c r="A399" s="164">
        <v>12</v>
      </c>
      <c r="B399" s="164" t="s">
        <v>402</v>
      </c>
      <c r="C399" s="164" t="s">
        <v>393</v>
      </c>
      <c r="D399" s="164" t="s">
        <v>403</v>
      </c>
      <c r="E399" s="164" t="s">
        <v>271</v>
      </c>
      <c r="F399" s="164">
        <v>7</v>
      </c>
    </row>
    <row r="400" spans="1:6" ht="12.75">
      <c r="A400" s="164">
        <v>13</v>
      </c>
      <c r="B400" s="164" t="s">
        <v>404</v>
      </c>
      <c r="C400" s="164" t="s">
        <v>393</v>
      </c>
      <c r="D400" s="164" t="s">
        <v>405</v>
      </c>
      <c r="E400" s="164" t="s">
        <v>272</v>
      </c>
      <c r="F400" s="164">
        <v>7</v>
      </c>
    </row>
    <row r="401" spans="1:6" ht="12.75">
      <c r="A401" s="164">
        <v>14</v>
      </c>
      <c r="B401" s="164" t="s">
        <v>406</v>
      </c>
      <c r="C401" s="164" t="s">
        <v>390</v>
      </c>
      <c r="D401" s="164" t="s">
        <v>388</v>
      </c>
      <c r="E401" s="164" t="s">
        <v>272</v>
      </c>
      <c r="F401" s="164">
        <v>5</v>
      </c>
    </row>
    <row r="402" spans="1:6" ht="12.75">
      <c r="A402" s="164">
        <v>15</v>
      </c>
      <c r="B402" s="164" t="s">
        <v>407</v>
      </c>
      <c r="C402" s="164" t="s">
        <v>311</v>
      </c>
      <c r="D402" s="164" t="s">
        <v>390</v>
      </c>
      <c r="E402" s="164" t="s">
        <v>270</v>
      </c>
      <c r="F402" s="164">
        <v>4</v>
      </c>
    </row>
    <row r="403" spans="1:6" ht="12.75">
      <c r="A403" s="164">
        <v>16</v>
      </c>
      <c r="B403" s="164" t="s">
        <v>408</v>
      </c>
      <c r="C403" s="164" t="s">
        <v>405</v>
      </c>
      <c r="D403" s="164" t="s">
        <v>409</v>
      </c>
      <c r="E403" s="164" t="s">
        <v>271</v>
      </c>
      <c r="F403" s="164">
        <v>7</v>
      </c>
    </row>
    <row r="404" spans="1:6" ht="12.75">
      <c r="A404" s="164">
        <v>17</v>
      </c>
      <c r="B404" s="164" t="s">
        <v>410</v>
      </c>
      <c r="C404" s="164" t="s">
        <v>311</v>
      </c>
      <c r="D404" s="164" t="s">
        <v>387</v>
      </c>
      <c r="E404" s="164" t="s">
        <v>272</v>
      </c>
      <c r="F404" s="164">
        <v>4</v>
      </c>
    </row>
    <row r="405" spans="1:6" ht="12.75">
      <c r="A405" s="164">
        <v>18</v>
      </c>
      <c r="B405" s="164" t="s">
        <v>411</v>
      </c>
      <c r="C405" s="164" t="s">
        <v>392</v>
      </c>
      <c r="D405" s="164" t="s">
        <v>390</v>
      </c>
      <c r="E405" s="164" t="s">
        <v>272</v>
      </c>
      <c r="F405" s="164">
        <v>4</v>
      </c>
    </row>
    <row r="406" spans="1:6" ht="12.75">
      <c r="A406" s="164">
        <v>19</v>
      </c>
      <c r="B406" s="164" t="s">
        <v>412</v>
      </c>
      <c r="C406" s="164" t="s">
        <v>413</v>
      </c>
      <c r="D406" s="164" t="s">
        <v>310</v>
      </c>
      <c r="E406" s="164" t="s">
        <v>271</v>
      </c>
      <c r="F406" s="164">
        <v>8</v>
      </c>
    </row>
    <row r="407" spans="1:6" ht="12.75">
      <c r="A407" s="164">
        <v>20</v>
      </c>
      <c r="B407" s="164" t="s">
        <v>414</v>
      </c>
      <c r="C407" s="164" t="s">
        <v>387</v>
      </c>
      <c r="D407" s="164" t="s">
        <v>388</v>
      </c>
      <c r="E407" s="164" t="s">
        <v>415</v>
      </c>
      <c r="F407" s="164">
        <v>2</v>
      </c>
    </row>
    <row r="408" spans="1:6" ht="12.75">
      <c r="A408" s="164">
        <v>21</v>
      </c>
      <c r="B408" s="164" t="s">
        <v>416</v>
      </c>
      <c r="C408" s="164" t="s">
        <v>405</v>
      </c>
      <c r="D408" s="164" t="s">
        <v>393</v>
      </c>
      <c r="E408" s="164" t="s">
        <v>272</v>
      </c>
      <c r="F408" s="164">
        <v>7</v>
      </c>
    </row>
    <row r="409" spans="1:6" ht="12.75">
      <c r="A409" s="164">
        <v>22</v>
      </c>
      <c r="B409" s="164" t="s">
        <v>417</v>
      </c>
      <c r="C409" s="164" t="s">
        <v>388</v>
      </c>
      <c r="D409" s="164">
        <v>1</v>
      </c>
      <c r="E409" s="284" t="s">
        <v>64</v>
      </c>
      <c r="F409" s="164">
        <v>8</v>
      </c>
    </row>
    <row r="410" spans="1:6" ht="12.75">
      <c r="A410" s="164">
        <v>23</v>
      </c>
      <c r="B410" s="164" t="s">
        <v>418</v>
      </c>
      <c r="C410" s="164" t="s">
        <v>392</v>
      </c>
      <c r="D410" s="164" t="s">
        <v>393</v>
      </c>
      <c r="E410" s="164" t="s">
        <v>272</v>
      </c>
      <c r="F410" s="164">
        <v>6</v>
      </c>
    </row>
    <row r="411" spans="1:6" ht="12.75">
      <c r="A411" s="164">
        <v>24</v>
      </c>
      <c r="B411" s="164" t="s">
        <v>419</v>
      </c>
      <c r="C411" s="164" t="s">
        <v>400</v>
      </c>
      <c r="D411" s="164" t="s">
        <v>308</v>
      </c>
      <c r="E411" s="164" t="s">
        <v>270</v>
      </c>
      <c r="F411" s="164">
        <v>6</v>
      </c>
    </row>
    <row r="412" spans="1:6" ht="12.75">
      <c r="A412" s="164">
        <v>25</v>
      </c>
      <c r="B412" s="164" t="s">
        <v>420</v>
      </c>
      <c r="C412" s="164" t="s">
        <v>405</v>
      </c>
      <c r="D412" s="164" t="s">
        <v>421</v>
      </c>
      <c r="E412" s="164" t="s">
        <v>270</v>
      </c>
      <c r="F412" s="164">
        <v>8</v>
      </c>
    </row>
    <row r="413" spans="1:6" ht="12.75">
      <c r="A413" s="164">
        <v>26</v>
      </c>
      <c r="B413" s="164" t="s">
        <v>422</v>
      </c>
      <c r="C413" s="164" t="s">
        <v>405</v>
      </c>
      <c r="D413" s="164" t="s">
        <v>311</v>
      </c>
      <c r="E413" s="164" t="s">
        <v>270</v>
      </c>
      <c r="F413" s="164">
        <v>9</v>
      </c>
    </row>
    <row r="414" spans="1:6" ht="12.75">
      <c r="A414" s="164">
        <v>27</v>
      </c>
      <c r="B414" s="164" t="s">
        <v>423</v>
      </c>
      <c r="C414" s="164" t="s">
        <v>400</v>
      </c>
      <c r="D414" s="164" t="s">
        <v>400</v>
      </c>
      <c r="E414" s="164" t="s">
        <v>270</v>
      </c>
      <c r="F414" s="164">
        <v>5</v>
      </c>
    </row>
    <row r="415" spans="1:6" ht="12.75">
      <c r="A415" s="164">
        <v>28</v>
      </c>
      <c r="B415" s="164" t="s">
        <v>286</v>
      </c>
      <c r="C415" s="164" t="s">
        <v>311</v>
      </c>
      <c r="D415" s="164" t="s">
        <v>400</v>
      </c>
      <c r="E415" s="164" t="s">
        <v>270</v>
      </c>
      <c r="F415" s="164">
        <v>3</v>
      </c>
    </row>
    <row r="416" spans="1:6" ht="12.75">
      <c r="A416" s="164">
        <v>29</v>
      </c>
      <c r="B416" s="164" t="s">
        <v>285</v>
      </c>
      <c r="C416" s="164" t="s">
        <v>400</v>
      </c>
      <c r="D416" s="164" t="s">
        <v>308</v>
      </c>
      <c r="E416" s="164" t="s">
        <v>270</v>
      </c>
      <c r="F416" s="164">
        <v>5</v>
      </c>
    </row>
    <row r="417" spans="1:6" ht="12.75">
      <c r="A417" s="164">
        <v>30</v>
      </c>
      <c r="B417" s="164" t="s">
        <v>287</v>
      </c>
      <c r="C417" s="164" t="s">
        <v>309</v>
      </c>
      <c r="D417" s="164" t="s">
        <v>310</v>
      </c>
      <c r="E417" s="164" t="s">
        <v>270</v>
      </c>
      <c r="F417" s="164">
        <v>10</v>
      </c>
    </row>
    <row r="418" spans="1:6" ht="12.75">
      <c r="A418" s="164">
        <v>31</v>
      </c>
      <c r="B418" s="164" t="s">
        <v>424</v>
      </c>
      <c r="C418" s="164" t="s">
        <v>392</v>
      </c>
      <c r="D418" s="164" t="s">
        <v>390</v>
      </c>
      <c r="E418" s="164" t="s">
        <v>270</v>
      </c>
      <c r="F418" s="164">
        <v>4</v>
      </c>
    </row>
    <row r="419" spans="1:6" ht="12.75">
      <c r="A419" s="164">
        <v>32</v>
      </c>
      <c r="B419" s="164" t="s">
        <v>425</v>
      </c>
      <c r="C419" s="164" t="s">
        <v>311</v>
      </c>
      <c r="D419" s="164" t="s">
        <v>400</v>
      </c>
      <c r="E419" s="164" t="s">
        <v>271</v>
      </c>
      <c r="F419" s="164">
        <v>6</v>
      </c>
    </row>
    <row r="420" spans="1:6" ht="12.75">
      <c r="A420" s="164">
        <v>33</v>
      </c>
      <c r="B420" s="164" t="s">
        <v>426</v>
      </c>
      <c r="C420" s="164" t="s">
        <v>311</v>
      </c>
      <c r="D420" s="164" t="s">
        <v>308</v>
      </c>
      <c r="E420" s="164" t="s">
        <v>271</v>
      </c>
      <c r="F420" s="164">
        <v>13</v>
      </c>
    </row>
    <row r="421" spans="1:6" ht="12.75">
      <c r="A421" s="164">
        <v>34</v>
      </c>
      <c r="B421" s="164" t="s">
        <v>427</v>
      </c>
      <c r="C421" s="164" t="s">
        <v>405</v>
      </c>
      <c r="D421" s="164" t="s">
        <v>409</v>
      </c>
      <c r="E421" s="164" t="s">
        <v>270</v>
      </c>
      <c r="F421" s="164">
        <v>9</v>
      </c>
    </row>
    <row r="422" spans="1:6" ht="12.75">
      <c r="A422" s="164">
        <v>35</v>
      </c>
      <c r="B422" s="164" t="s">
        <v>428</v>
      </c>
      <c r="C422" s="164" t="s">
        <v>400</v>
      </c>
      <c r="D422" s="164" t="s">
        <v>309</v>
      </c>
      <c r="E422" s="164" t="s">
        <v>270</v>
      </c>
      <c r="F422" s="164">
        <v>8</v>
      </c>
    </row>
    <row r="423" spans="1:6" ht="12.75">
      <c r="A423" s="164">
        <v>36</v>
      </c>
      <c r="B423" s="164" t="s">
        <v>429</v>
      </c>
      <c r="C423" s="164" t="s">
        <v>311</v>
      </c>
      <c r="D423" s="164" t="s">
        <v>309</v>
      </c>
      <c r="E423" s="164" t="s">
        <v>270</v>
      </c>
      <c r="F423" s="164">
        <v>8</v>
      </c>
    </row>
    <row r="424" spans="1:6" ht="12.75">
      <c r="A424" s="164">
        <v>37</v>
      </c>
      <c r="B424" s="164" t="s">
        <v>430</v>
      </c>
      <c r="C424" s="164" t="s">
        <v>390</v>
      </c>
      <c r="D424" s="164" t="s">
        <v>390</v>
      </c>
      <c r="E424" s="164" t="s">
        <v>415</v>
      </c>
      <c r="F424" s="164">
        <v>9</v>
      </c>
    </row>
    <row r="425" spans="1:6" ht="12.75">
      <c r="A425" s="164">
        <v>38</v>
      </c>
      <c r="B425" s="164" t="s">
        <v>431</v>
      </c>
      <c r="C425" s="164" t="s">
        <v>309</v>
      </c>
      <c r="D425" s="164" t="s">
        <v>409</v>
      </c>
      <c r="E425" s="164" t="s">
        <v>415</v>
      </c>
      <c r="F425" s="164">
        <v>9</v>
      </c>
    </row>
    <row r="426" spans="1:6" ht="12.75">
      <c r="A426" s="164">
        <v>39</v>
      </c>
      <c r="B426" s="164" t="s">
        <v>432</v>
      </c>
      <c r="C426" s="164" t="s">
        <v>405</v>
      </c>
      <c r="D426" s="164" t="s">
        <v>405</v>
      </c>
      <c r="E426" s="164" t="s">
        <v>415</v>
      </c>
      <c r="F426" s="164">
        <v>10</v>
      </c>
    </row>
    <row r="427" spans="1:6" ht="12.75">
      <c r="A427" s="164">
        <v>40</v>
      </c>
      <c r="B427" s="164" t="s">
        <v>433</v>
      </c>
      <c r="C427" s="164" t="s">
        <v>405</v>
      </c>
      <c r="D427" s="164" t="s">
        <v>405</v>
      </c>
      <c r="E427" s="164" t="s">
        <v>270</v>
      </c>
      <c r="F427" s="164">
        <v>10</v>
      </c>
    </row>
    <row r="428" spans="1:6" ht="12.75">
      <c r="A428" s="164">
        <v>41</v>
      </c>
      <c r="B428" s="164" t="s">
        <v>434</v>
      </c>
      <c r="C428" s="164" t="s">
        <v>400</v>
      </c>
      <c r="D428" s="164" t="s">
        <v>405</v>
      </c>
      <c r="E428" s="164" t="s">
        <v>271</v>
      </c>
      <c r="F428" s="164">
        <v>7</v>
      </c>
    </row>
    <row r="429" spans="1:6" ht="12.75">
      <c r="A429" s="164">
        <v>42</v>
      </c>
      <c r="B429" s="164" t="s">
        <v>435</v>
      </c>
      <c r="C429" s="164" t="s">
        <v>311</v>
      </c>
      <c r="D429" s="164" t="s">
        <v>400</v>
      </c>
      <c r="E429" s="164" t="s">
        <v>415</v>
      </c>
      <c r="F429" s="164">
        <v>8</v>
      </c>
    </row>
    <row r="430" spans="1:6" ht="12.75">
      <c r="A430" s="164">
        <v>43</v>
      </c>
      <c r="B430" s="164" t="s">
        <v>436</v>
      </c>
      <c r="C430" s="164" t="s">
        <v>405</v>
      </c>
      <c r="D430" s="164" t="s">
        <v>311</v>
      </c>
      <c r="E430" s="164" t="s">
        <v>437</v>
      </c>
      <c r="F430" s="164">
        <v>9</v>
      </c>
    </row>
    <row r="431" spans="1:6" ht="12.75">
      <c r="A431" s="164">
        <v>44</v>
      </c>
      <c r="B431" s="164" t="s">
        <v>438</v>
      </c>
      <c r="C431" s="164" t="s">
        <v>311</v>
      </c>
      <c r="D431" s="164" t="s">
        <v>393</v>
      </c>
      <c r="E431" s="164" t="s">
        <v>271</v>
      </c>
      <c r="F431" s="164">
        <v>9</v>
      </c>
    </row>
    <row r="432" spans="1:6" ht="12.75">
      <c r="A432" s="164">
        <v>45</v>
      </c>
      <c r="B432" s="164" t="s">
        <v>439</v>
      </c>
      <c r="C432" s="164" t="s">
        <v>405</v>
      </c>
      <c r="D432" s="164" t="s">
        <v>400</v>
      </c>
      <c r="E432" s="164" t="s">
        <v>270</v>
      </c>
      <c r="F432" s="164">
        <v>8</v>
      </c>
    </row>
    <row r="433" spans="1:6" ht="12.75">
      <c r="A433" s="164">
        <v>46</v>
      </c>
      <c r="B433" s="164" t="s">
        <v>440</v>
      </c>
      <c r="C433" s="164" t="s">
        <v>400</v>
      </c>
      <c r="D433" s="164" t="s">
        <v>400</v>
      </c>
      <c r="E433" s="164" t="s">
        <v>270</v>
      </c>
      <c r="F433" s="164">
        <v>7</v>
      </c>
    </row>
    <row r="438" ht="12.75">
      <c r="B438" s="164" t="s">
        <v>295</v>
      </c>
    </row>
    <row r="439" spans="1:4" ht="12.75">
      <c r="A439" s="164">
        <v>1</v>
      </c>
      <c r="B439" s="164" t="s">
        <v>296</v>
      </c>
      <c r="C439" s="164">
        <v>-1</v>
      </c>
      <c r="D439" s="164">
        <v>-2</v>
      </c>
    </row>
    <row r="440" spans="1:4" ht="12.75">
      <c r="A440" s="164">
        <v>2</v>
      </c>
      <c r="B440" s="164" t="s">
        <v>297</v>
      </c>
      <c r="C440" s="164">
        <v>0</v>
      </c>
      <c r="D440" s="164">
        <v>0</v>
      </c>
    </row>
    <row r="441" spans="1:4" ht="12.75">
      <c r="A441" s="164">
        <v>3</v>
      </c>
      <c r="B441" s="164" t="s">
        <v>298</v>
      </c>
      <c r="C441" s="164">
        <v>1</v>
      </c>
      <c r="D441" s="164">
        <v>2</v>
      </c>
    </row>
    <row r="442" spans="1:4" ht="12.75">
      <c r="A442" s="164">
        <v>4</v>
      </c>
      <c r="B442" s="164" t="s">
        <v>299</v>
      </c>
      <c r="C442" s="164">
        <v>3</v>
      </c>
      <c r="D442" s="164">
        <v>3</v>
      </c>
    </row>
    <row r="443" spans="1:4" ht="12.75">
      <c r="A443" s="164">
        <v>5</v>
      </c>
      <c r="B443" s="164" t="s">
        <v>300</v>
      </c>
      <c r="C443" s="164">
        <v>3</v>
      </c>
      <c r="D443" s="164">
        <v>5</v>
      </c>
    </row>
    <row r="445" spans="1:5" ht="12.75">
      <c r="A445" s="164" t="s">
        <v>302</v>
      </c>
      <c r="B445" s="164" t="s">
        <v>303</v>
      </c>
      <c r="C445" s="164" t="s">
        <v>304</v>
      </c>
      <c r="D445" s="164" t="s">
        <v>305</v>
      </c>
      <c r="E445" s="164" t="s">
        <v>306</v>
      </c>
    </row>
    <row r="446" spans="1:5" ht="12.75">
      <c r="A446" s="164">
        <v>1</v>
      </c>
      <c r="B446" s="164">
        <v>20</v>
      </c>
      <c r="C446" s="164">
        <v>20</v>
      </c>
      <c r="D446" s="164">
        <v>20</v>
      </c>
      <c r="E446" s="164">
        <v>20</v>
      </c>
    </row>
    <row r="447" spans="1:5" ht="12.75">
      <c r="A447" s="164">
        <v>2</v>
      </c>
      <c r="B447" s="164">
        <v>19</v>
      </c>
      <c r="C447" s="164">
        <v>20</v>
      </c>
      <c r="D447" s="164">
        <v>20</v>
      </c>
      <c r="E447" s="164">
        <v>20</v>
      </c>
    </row>
    <row r="448" spans="1:5" ht="12.75">
      <c r="A448" s="164">
        <v>3</v>
      </c>
      <c r="B448" s="164">
        <v>18</v>
      </c>
      <c r="C448" s="164">
        <v>18</v>
      </c>
      <c r="D448" s="164">
        <v>19</v>
      </c>
      <c r="E448" s="164">
        <v>20</v>
      </c>
    </row>
    <row r="449" spans="1:5" ht="12.75">
      <c r="A449" s="164">
        <v>4</v>
      </c>
      <c r="B449" s="164">
        <v>17</v>
      </c>
      <c r="C449" s="164">
        <v>18</v>
      </c>
      <c r="D449" s="164">
        <v>19</v>
      </c>
      <c r="E449" s="164">
        <v>19</v>
      </c>
    </row>
    <row r="450" spans="1:5" ht="12.75">
      <c r="A450" s="164">
        <v>5</v>
      </c>
      <c r="B450" s="164">
        <v>16</v>
      </c>
      <c r="C450" s="164">
        <v>16</v>
      </c>
      <c r="D450" s="164">
        <v>18</v>
      </c>
      <c r="E450" s="164">
        <v>19</v>
      </c>
    </row>
    <row r="451" spans="1:5" ht="12.75">
      <c r="A451" s="164">
        <v>6</v>
      </c>
      <c r="B451" s="164">
        <v>15</v>
      </c>
      <c r="C451" s="164">
        <v>16</v>
      </c>
      <c r="D451" s="164">
        <v>18</v>
      </c>
      <c r="E451" s="164">
        <v>19</v>
      </c>
    </row>
    <row r="452" spans="1:5" ht="12.75">
      <c r="A452" s="164">
        <v>7</v>
      </c>
      <c r="B452" s="164">
        <v>14</v>
      </c>
      <c r="C452" s="164">
        <v>14</v>
      </c>
      <c r="D452" s="164">
        <v>17</v>
      </c>
      <c r="E452" s="164">
        <v>18</v>
      </c>
    </row>
    <row r="453" spans="1:5" ht="12.75">
      <c r="A453" s="164">
        <v>8</v>
      </c>
      <c r="B453" s="164">
        <v>13</v>
      </c>
      <c r="C453" s="164">
        <v>14</v>
      </c>
      <c r="D453" s="164">
        <v>17</v>
      </c>
      <c r="E453" s="164">
        <v>18</v>
      </c>
    </row>
    <row r="454" spans="1:5" ht="12.75">
      <c r="A454" s="164">
        <v>9</v>
      </c>
      <c r="B454" s="164">
        <v>12</v>
      </c>
      <c r="C454" s="164">
        <v>12</v>
      </c>
      <c r="D454" s="164">
        <v>16</v>
      </c>
      <c r="E454" s="164">
        <v>18</v>
      </c>
    </row>
    <row r="455" spans="1:5" ht="12.75">
      <c r="A455" s="164">
        <v>10</v>
      </c>
      <c r="B455" s="164">
        <v>11</v>
      </c>
      <c r="C455" s="164">
        <v>12</v>
      </c>
      <c r="D455" s="164">
        <v>16</v>
      </c>
      <c r="E455" s="164">
        <v>17</v>
      </c>
    </row>
    <row r="456" spans="1:5" ht="12.75">
      <c r="A456" s="164">
        <v>11</v>
      </c>
      <c r="B456" s="164">
        <v>10</v>
      </c>
      <c r="C456" s="164">
        <v>10</v>
      </c>
      <c r="D456" s="164">
        <v>15</v>
      </c>
      <c r="E456" s="164">
        <v>17</v>
      </c>
    </row>
    <row r="457" spans="1:5" ht="12.75">
      <c r="A457" s="164">
        <v>12</v>
      </c>
      <c r="B457" s="164">
        <v>9</v>
      </c>
      <c r="C457" s="164">
        <v>10</v>
      </c>
      <c r="D457" s="164">
        <v>15</v>
      </c>
      <c r="E457" s="164">
        <v>17</v>
      </c>
    </row>
    <row r="458" spans="1:5" ht="12.75">
      <c r="A458" s="164">
        <v>13</v>
      </c>
      <c r="B458" s="164">
        <v>8</v>
      </c>
      <c r="C458" s="164">
        <v>8</v>
      </c>
      <c r="D458" s="164">
        <v>14</v>
      </c>
      <c r="E458" s="164">
        <v>16</v>
      </c>
    </row>
    <row r="459" spans="1:5" ht="12.75">
      <c r="A459" s="164">
        <v>14</v>
      </c>
      <c r="B459" s="164">
        <v>7</v>
      </c>
      <c r="C459" s="164">
        <v>8</v>
      </c>
      <c r="D459" s="164">
        <v>14</v>
      </c>
      <c r="E459" s="164">
        <v>16</v>
      </c>
    </row>
    <row r="460" spans="1:5" ht="12.75">
      <c r="A460" s="164">
        <v>15</v>
      </c>
      <c r="B460" s="164">
        <v>6</v>
      </c>
      <c r="C460" s="164">
        <v>6</v>
      </c>
      <c r="D460" s="164">
        <v>13</v>
      </c>
      <c r="E460" s="164">
        <v>16</v>
      </c>
    </row>
    <row r="461" spans="1:5" ht="12.75">
      <c r="A461" s="164">
        <v>16</v>
      </c>
      <c r="B461" s="164">
        <v>5</v>
      </c>
      <c r="C461" s="164">
        <v>6</v>
      </c>
      <c r="D461" s="164">
        <v>13</v>
      </c>
      <c r="E461" s="164">
        <v>15</v>
      </c>
    </row>
    <row r="462" spans="1:5" ht="12.75">
      <c r="A462" s="164">
        <v>17</v>
      </c>
      <c r="B462" s="164">
        <v>4</v>
      </c>
      <c r="C462" s="164">
        <v>4</v>
      </c>
      <c r="D462" s="164">
        <v>12</v>
      </c>
      <c r="E462" s="164">
        <v>15</v>
      </c>
    </row>
    <row r="463" spans="1:5" ht="12.75">
      <c r="A463" s="164">
        <v>18</v>
      </c>
      <c r="B463" s="164">
        <v>3</v>
      </c>
      <c r="C463" s="164">
        <v>4</v>
      </c>
      <c r="D463" s="164">
        <v>12</v>
      </c>
      <c r="E463" s="164">
        <v>15</v>
      </c>
    </row>
    <row r="464" spans="1:5" ht="12.75">
      <c r="A464" s="164">
        <v>19</v>
      </c>
      <c r="B464" s="164">
        <v>2</v>
      </c>
      <c r="C464" s="164">
        <v>2</v>
      </c>
      <c r="D464" s="164">
        <v>10</v>
      </c>
      <c r="E464" s="164">
        <v>14</v>
      </c>
    </row>
    <row r="465" spans="1:5" ht="12.75">
      <c r="A465" s="164">
        <v>20</v>
      </c>
      <c r="B465" s="164">
        <v>1</v>
      </c>
      <c r="C465" s="164">
        <v>2</v>
      </c>
      <c r="D465" s="164">
        <v>10</v>
      </c>
      <c r="E465" s="164">
        <v>14</v>
      </c>
    </row>
    <row r="466" ht="12.75">
      <c r="A466" s="164" t="s">
        <v>106</v>
      </c>
    </row>
    <row r="468" ht="12.75">
      <c r="A468" s="164" t="s">
        <v>313</v>
      </c>
    </row>
    <row r="469" spans="1:3" ht="12.75">
      <c r="A469" s="164">
        <v>1</v>
      </c>
      <c r="B469" s="164" t="s">
        <v>325</v>
      </c>
      <c r="C469" s="164">
        <v>0</v>
      </c>
    </row>
    <row r="470" spans="1:3" ht="12.75">
      <c r="A470" s="164">
        <v>2</v>
      </c>
      <c r="B470" s="164" t="s">
        <v>314</v>
      </c>
      <c r="C470" s="164">
        <v>-1</v>
      </c>
    </row>
    <row r="471" spans="1:3" ht="12.75">
      <c r="A471" s="164">
        <v>3</v>
      </c>
      <c r="B471" s="164" t="s">
        <v>315</v>
      </c>
      <c r="C471" s="164">
        <v>-2</v>
      </c>
    </row>
    <row r="472" spans="1:3" ht="12.75">
      <c r="A472" s="164">
        <v>4</v>
      </c>
      <c r="B472" s="164" t="s">
        <v>316</v>
      </c>
      <c r="C472" s="164">
        <v>-3</v>
      </c>
    </row>
    <row r="473" spans="1:3" ht="12.75">
      <c r="A473" s="164">
        <v>5</v>
      </c>
      <c r="B473" s="164" t="s">
        <v>317</v>
      </c>
      <c r="C473" s="164">
        <v>-4</v>
      </c>
    </row>
    <row r="474" spans="1:3" ht="12.75">
      <c r="A474" s="164">
        <v>6</v>
      </c>
      <c r="B474" s="164" t="s">
        <v>318</v>
      </c>
      <c r="C474" s="164">
        <v>-5</v>
      </c>
    </row>
    <row r="475" spans="1:3" ht="12.75">
      <c r="A475" s="164">
        <v>7</v>
      </c>
      <c r="B475" s="164" t="s">
        <v>319</v>
      </c>
      <c r="C475" s="164">
        <v>-4</v>
      </c>
    </row>
    <row r="476" spans="1:3" ht="12.75">
      <c r="A476" s="164">
        <v>8</v>
      </c>
      <c r="B476" s="164" t="s">
        <v>320</v>
      </c>
      <c r="C476" s="164">
        <v>-5</v>
      </c>
    </row>
    <row r="477" spans="1:3" ht="12.75">
      <c r="A477" s="164">
        <v>9</v>
      </c>
      <c r="B477" s="164" t="s">
        <v>321</v>
      </c>
      <c r="C477" s="164">
        <v>-6</v>
      </c>
    </row>
    <row r="478" spans="1:3" ht="12.75">
      <c r="A478" s="164">
        <v>10</v>
      </c>
      <c r="B478" s="164" t="s">
        <v>322</v>
      </c>
      <c r="C478" s="164">
        <v>-7</v>
      </c>
    </row>
    <row r="479" spans="1:3" ht="12.75">
      <c r="A479" s="164">
        <v>11</v>
      </c>
      <c r="B479" s="164" t="s">
        <v>323</v>
      </c>
      <c r="C479" s="164">
        <v>-8</v>
      </c>
    </row>
    <row r="483" spans="1:2" ht="12.75">
      <c r="A483" s="164">
        <v>1</v>
      </c>
      <c r="B483" s="164">
        <v>-5</v>
      </c>
    </row>
    <row r="484" spans="1:2" ht="12.75">
      <c r="A484" s="164">
        <v>2</v>
      </c>
      <c r="B484" s="164">
        <v>-4</v>
      </c>
    </row>
    <row r="485" spans="1:2" ht="12.75">
      <c r="A485" s="164">
        <v>3</v>
      </c>
      <c r="B485" s="164">
        <v>-3</v>
      </c>
    </row>
    <row r="486" spans="1:2" ht="12.75">
      <c r="A486" s="164">
        <v>4</v>
      </c>
      <c r="B486" s="164">
        <v>-2</v>
      </c>
    </row>
    <row r="487" spans="1:2" ht="12.75">
      <c r="A487" s="164">
        <v>5</v>
      </c>
      <c r="B487" s="164">
        <v>-1</v>
      </c>
    </row>
    <row r="488" spans="1:2" ht="12.75">
      <c r="A488" s="164">
        <v>6</v>
      </c>
      <c r="B488" s="164">
        <v>0</v>
      </c>
    </row>
    <row r="489" spans="1:2" ht="12.75">
      <c r="A489" s="164">
        <v>7</v>
      </c>
      <c r="B489" s="164">
        <v>1</v>
      </c>
    </row>
    <row r="490" spans="1:2" ht="12.75">
      <c r="A490" s="164">
        <v>8</v>
      </c>
      <c r="B490" s="164">
        <v>2</v>
      </c>
    </row>
    <row r="491" spans="1:2" ht="12.75">
      <c r="A491" s="164">
        <v>9</v>
      </c>
      <c r="B491" s="164">
        <v>3</v>
      </c>
    </row>
    <row r="492" spans="1:2" ht="12.75">
      <c r="A492" s="164">
        <v>10</v>
      </c>
      <c r="B492" s="164">
        <v>4</v>
      </c>
    </row>
    <row r="493" spans="1:2" ht="12.75">
      <c r="A493" s="164">
        <v>11</v>
      </c>
      <c r="B493" s="164">
        <v>5</v>
      </c>
    </row>
    <row r="495" ht="12" customHeight="1"/>
    <row r="496" s="289" customFormat="1" ht="12">
      <c r="A496" s="289" t="s">
        <v>464</v>
      </c>
    </row>
    <row r="497" s="289" customFormat="1" ht="12">
      <c r="A497" s="289" t="s">
        <v>465</v>
      </c>
    </row>
    <row r="498" s="289" customFormat="1" ht="12">
      <c r="A498" s="289" t="s">
        <v>466</v>
      </c>
    </row>
    <row r="499" s="289" customFormat="1" ht="12">
      <c r="A499" s="289" t="s">
        <v>467</v>
      </c>
    </row>
    <row r="500" s="289" customFormat="1" ht="12">
      <c r="A500" s="289" t="s">
        <v>468</v>
      </c>
    </row>
    <row r="501" s="289" customFormat="1" ht="12">
      <c r="A501" s="289" t="s">
        <v>469</v>
      </c>
    </row>
    <row r="502" s="289" customFormat="1" ht="12">
      <c r="A502" s="289" t="s">
        <v>106</v>
      </c>
    </row>
    <row r="503" s="289" customFormat="1" ht="12">
      <c r="A503" s="289" t="s">
        <v>36</v>
      </c>
    </row>
    <row r="504" ht="12.75">
      <c r="A504" s="164" t="s">
        <v>470</v>
      </c>
    </row>
    <row r="505" ht="12.75">
      <c r="A505" s="286" t="s">
        <v>471</v>
      </c>
    </row>
    <row r="506" ht="12.75">
      <c r="A506" s="164" t="s">
        <v>513</v>
      </c>
    </row>
    <row r="508" ht="12.75">
      <c r="A508" s="164" t="s">
        <v>41</v>
      </c>
    </row>
    <row r="509" ht="12.75">
      <c r="A509" s="164" t="s">
        <v>475</v>
      </c>
    </row>
    <row r="510" ht="12.75">
      <c r="A510" s="164" t="s">
        <v>476</v>
      </c>
    </row>
    <row r="511" ht="12.75">
      <c r="A511" s="164" t="s">
        <v>482</v>
      </c>
    </row>
    <row r="512" ht="12.75">
      <c r="A512" s="164" t="s">
        <v>483</v>
      </c>
    </row>
    <row r="513" ht="12.75">
      <c r="A513" s="164" t="s">
        <v>477</v>
      </c>
    </row>
    <row r="514" ht="12.75">
      <c r="A514" s="164" t="s">
        <v>478</v>
      </c>
    </row>
    <row r="515" ht="12.75">
      <c r="A515" s="164" t="s">
        <v>479</v>
      </c>
    </row>
    <row r="517" ht="12.75">
      <c r="A517" s="164" t="s">
        <v>37</v>
      </c>
    </row>
    <row r="518" ht="12.75">
      <c r="A518" s="164" t="s">
        <v>480</v>
      </c>
    </row>
    <row r="519" ht="12.75">
      <c r="A519" s="164" t="s">
        <v>481</v>
      </c>
    </row>
    <row r="520" ht="12.75">
      <c r="A520" s="164" t="s">
        <v>484</v>
      </c>
    </row>
    <row r="521" ht="12.75">
      <c r="A521" s="164" t="s">
        <v>485</v>
      </c>
    </row>
    <row r="522" ht="12.75">
      <c r="A522" s="164" t="s">
        <v>486</v>
      </c>
    </row>
    <row r="523" ht="12.75">
      <c r="A523" s="164" t="s">
        <v>487</v>
      </c>
    </row>
    <row r="524" ht="12.75">
      <c r="A524" s="286" t="s">
        <v>488</v>
      </c>
    </row>
    <row r="526" ht="12.75">
      <c r="A526" s="164" t="s">
        <v>489</v>
      </c>
    </row>
    <row r="527" ht="12.75">
      <c r="A527" s="164" t="s">
        <v>490</v>
      </c>
    </row>
    <row r="528" ht="12.75">
      <c r="A528" s="164" t="s">
        <v>491</v>
      </c>
    </row>
    <row r="529" ht="12.75">
      <c r="A529" s="164" t="s">
        <v>492</v>
      </c>
    </row>
    <row r="530" ht="12.75">
      <c r="A530" s="164" t="s">
        <v>493</v>
      </c>
    </row>
    <row r="532" ht="12.75">
      <c r="A532" s="164" t="s">
        <v>494</v>
      </c>
    </row>
    <row r="533" ht="12.75">
      <c r="A533" s="164" t="s">
        <v>504</v>
      </c>
    </row>
    <row r="534" ht="12.75">
      <c r="A534" s="164" t="s">
        <v>505</v>
      </c>
    </row>
    <row r="535" ht="12.75">
      <c r="A535" s="164" t="s">
        <v>510</v>
      </c>
    </row>
    <row r="536" ht="12.75">
      <c r="A536" s="164" t="s">
        <v>506</v>
      </c>
    </row>
    <row r="537" ht="12.75">
      <c r="A537" s="164" t="s">
        <v>507</v>
      </c>
    </row>
    <row r="538" ht="12.75">
      <c r="A538" s="164" t="s">
        <v>508</v>
      </c>
    </row>
    <row r="539" ht="12.75">
      <c r="A539" s="286" t="s">
        <v>509</v>
      </c>
    </row>
    <row r="541" ht="12.75">
      <c r="A541" s="164" t="s">
        <v>12</v>
      </c>
    </row>
    <row r="542" ht="12.75">
      <c r="A542" s="164" t="s">
        <v>514</v>
      </c>
    </row>
    <row r="543" ht="12.75">
      <c r="A543" s="164" t="s">
        <v>515</v>
      </c>
    </row>
    <row r="544" ht="12.75">
      <c r="A544" s="164" t="s">
        <v>516</v>
      </c>
    </row>
    <row r="546" ht="12.75">
      <c r="A546" s="164" t="s">
        <v>13</v>
      </c>
    </row>
    <row r="547" ht="12.75">
      <c r="A547" s="164" t="s">
        <v>517</v>
      </c>
    </row>
    <row r="548" ht="12.75">
      <c r="A548" s="164" t="s">
        <v>518</v>
      </c>
    </row>
    <row r="549" ht="12.75">
      <c r="A549" s="164" t="s">
        <v>519</v>
      </c>
    </row>
    <row r="550" ht="12.75">
      <c r="A550" s="164" t="s">
        <v>520</v>
      </c>
    </row>
    <row r="551" ht="12.75">
      <c r="A551" s="164" t="s">
        <v>521</v>
      </c>
    </row>
    <row r="552" ht="12.75">
      <c r="A552" s="164" t="s">
        <v>522</v>
      </c>
    </row>
    <row r="553" ht="12.75">
      <c r="A553" s="164" t="s">
        <v>523</v>
      </c>
    </row>
    <row r="554" ht="12.75">
      <c r="A554" s="164" t="s">
        <v>524</v>
      </c>
    </row>
    <row r="556" ht="12.75">
      <c r="A556" s="164" t="s">
        <v>14</v>
      </c>
    </row>
    <row r="557" ht="12.75">
      <c r="A557" s="164" t="s">
        <v>525</v>
      </c>
    </row>
    <row r="558" ht="12.75">
      <c r="A558" s="164" t="s">
        <v>526</v>
      </c>
    </row>
    <row r="559" ht="12.75">
      <c r="A559" s="164" t="s">
        <v>527</v>
      </c>
    </row>
    <row r="560" ht="12.75">
      <c r="A560" s="164" t="s">
        <v>528</v>
      </c>
    </row>
    <row r="561" ht="12.75">
      <c r="A561" s="164" t="s">
        <v>529</v>
      </c>
    </row>
    <row r="562" ht="12.75">
      <c r="A562" s="164" t="s">
        <v>530</v>
      </c>
    </row>
    <row r="563" ht="12.75">
      <c r="A563" s="164" t="s">
        <v>538</v>
      </c>
    </row>
    <row r="565" ht="12.75">
      <c r="A565" s="164" t="s">
        <v>531</v>
      </c>
    </row>
    <row r="566" ht="12.75">
      <c r="A566" s="164" t="s">
        <v>532</v>
      </c>
    </row>
    <row r="567" ht="12.75">
      <c r="A567" s="164" t="s">
        <v>533</v>
      </c>
    </row>
    <row r="568" ht="12.75">
      <c r="A568" s="164" t="s">
        <v>537</v>
      </c>
    </row>
    <row r="570" ht="12.75">
      <c r="A570" s="164" t="s">
        <v>9</v>
      </c>
    </row>
    <row r="571" ht="12.75">
      <c r="A571" s="164" t="s">
        <v>534</v>
      </c>
    </row>
    <row r="572" ht="12.75">
      <c r="A572" s="164" t="s">
        <v>535</v>
      </c>
    </row>
    <row r="573" ht="12.75">
      <c r="A573" s="164" t="s">
        <v>536</v>
      </c>
    </row>
    <row r="575" ht="12.75">
      <c r="A575" s="164" t="s">
        <v>539</v>
      </c>
    </row>
    <row r="576" ht="12.75">
      <c r="A576" s="164" t="s">
        <v>540</v>
      </c>
    </row>
    <row r="577" ht="12.75">
      <c r="A577" s="164" t="s">
        <v>541</v>
      </c>
    </row>
    <row r="578" ht="12.75">
      <c r="A578" s="164" t="s">
        <v>542</v>
      </c>
    </row>
    <row r="579" ht="12.75">
      <c r="A579" s="164" t="s">
        <v>543</v>
      </c>
    </row>
    <row r="580" ht="12.75">
      <c r="A580" s="164" t="s">
        <v>544</v>
      </c>
    </row>
    <row r="581" ht="12.75">
      <c r="A581" s="164" t="s">
        <v>545</v>
      </c>
    </row>
    <row r="582" ht="12.75">
      <c r="A582" s="164" t="s">
        <v>546</v>
      </c>
    </row>
    <row r="583" ht="12.75">
      <c r="A583" s="164" t="s">
        <v>547</v>
      </c>
    </row>
  </sheetData>
  <sheetProtection password="C7D4" sheet="1" objects="1" scenarios="1"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 Informatik</dc:creator>
  <cp:keywords/>
  <dc:description/>
  <cp:lastModifiedBy>AM-Informatik</cp:lastModifiedBy>
  <cp:lastPrinted>2001-12-22T19:14:58Z</cp:lastPrinted>
  <dcterms:created xsi:type="dcterms:W3CDTF">2001-08-20T11:43:57Z</dcterms:created>
  <dcterms:modified xsi:type="dcterms:W3CDTF">2001-12-22T19:33:47Z</dcterms:modified>
  <cp:category/>
  <cp:version/>
  <cp:contentType/>
  <cp:contentStatus/>
</cp:coreProperties>
</file>